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kursk042\Downloads\"/>
    </mc:Choice>
  </mc:AlternateContent>
  <xr:revisionPtr revIDLastSave="0" documentId="13_ncr:1_{31F204E6-3BE0-499F-8B4C-8DF11A6FFDF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на 31.12.2025" sheetId="7" r:id="rId1"/>
  </sheets>
  <externalReferences>
    <externalReference r:id="rId2"/>
  </externalReferences>
  <definedNames>
    <definedName name="_xlnm._FilterDatabase" localSheetId="0" hidden="1">'на 31.12.2025'!$A$12:$Q$170</definedName>
    <definedName name="_xlnm.Print_Titles" localSheetId="0">'на 31.12.2025'!$14:$14</definedName>
    <definedName name="_xlnm.Print_Area" localSheetId="0">'на 31.12.2025'!$A$1:$Q$354</definedName>
  </definedNames>
  <calcPr calcId="191029" iterate="1"/>
</workbook>
</file>

<file path=xl/calcChain.xml><?xml version="1.0" encoding="utf-8"?>
<calcChain xmlns="http://schemas.openxmlformats.org/spreadsheetml/2006/main">
  <c r="N255" i="7" l="1"/>
  <c r="M255" i="7"/>
  <c r="L255" i="7"/>
  <c r="D245" i="7"/>
  <c r="R140" i="7" l="1"/>
  <c r="D142" i="7"/>
  <c r="S141" i="7" l="1"/>
  <c r="R51" i="7"/>
  <c r="W48" i="7"/>
  <c r="R92" i="7"/>
  <c r="R129" i="7"/>
  <c r="S47" i="7"/>
  <c r="S49" i="7"/>
  <c r="R130" i="7" l="1"/>
  <c r="R141" i="7" l="1"/>
  <c r="D29" i="7" l="1"/>
  <c r="I24" i="7"/>
  <c r="N24" i="7"/>
  <c r="M24" i="7"/>
  <c r="L24" i="7"/>
  <c r="K24" i="7"/>
  <c r="D172" i="7" l="1"/>
  <c r="N44" i="7"/>
  <c r="M44" i="7"/>
  <c r="L44" i="7"/>
  <c r="K44" i="7"/>
  <c r="K255" i="7" l="1"/>
  <c r="D244" i="7"/>
  <c r="N222" i="7" l="1"/>
  <c r="N154" i="7"/>
  <c r="M222" i="7"/>
  <c r="M154" i="7"/>
  <c r="L222" i="7"/>
  <c r="L154" i="7"/>
  <c r="R69" i="7"/>
  <c r="S130" i="7"/>
  <c r="R49" i="7"/>
  <c r="K314" i="7"/>
  <c r="K222" i="7"/>
  <c r="K154" i="7"/>
  <c r="K268" i="7"/>
  <c r="N268" i="7"/>
  <c r="V48" i="7"/>
  <c r="N352" i="7" l="1"/>
  <c r="U48" i="7" l="1"/>
  <c r="T48" i="7"/>
  <c r="R98" i="7"/>
  <c r="D93" i="7" l="1"/>
  <c r="D92" i="7"/>
  <c r="D49" i="7" l="1"/>
  <c r="D99" i="7"/>
  <c r="D100" i="7"/>
  <c r="D48" i="7" l="1"/>
  <c r="D350" i="7"/>
  <c r="D349" i="7"/>
  <c r="D348" i="7"/>
  <c r="L347" i="7"/>
  <c r="S48" i="7" l="1"/>
  <c r="D347" i="7"/>
  <c r="D135" i="7"/>
  <c r="D130" i="7"/>
  <c r="K318" i="7"/>
  <c r="D177" i="7"/>
  <c r="D129" i="7"/>
  <c r="D98" i="7"/>
  <c r="D91" i="7"/>
  <c r="D346" i="7"/>
  <c r="D345" i="7"/>
  <c r="D344" i="7"/>
  <c r="D342" i="7"/>
  <c r="D341" i="7"/>
  <c r="D340" i="7"/>
  <c r="D338" i="7"/>
  <c r="D337" i="7"/>
  <c r="D336" i="7"/>
  <c r="D260" i="7"/>
  <c r="D243" i="7"/>
  <c r="D237" i="7"/>
  <c r="D232" i="7"/>
  <c r="D228" i="7"/>
  <c r="D221" i="7"/>
  <c r="D211" i="7"/>
  <c r="D210" i="7"/>
  <c r="D209" i="7"/>
  <c r="D165" i="7"/>
  <c r="D157" i="7"/>
  <c r="D153" i="7"/>
  <c r="D152" i="7"/>
  <c r="D150" i="7"/>
  <c r="D139" i="7"/>
  <c r="D108" i="7"/>
  <c r="D106" i="7"/>
  <c r="D104" i="7"/>
  <c r="D103" i="7"/>
  <c r="D95" i="7"/>
  <c r="D68" i="7"/>
  <c r="D28" i="7"/>
  <c r="D18" i="7"/>
  <c r="D47" i="7"/>
  <c r="L156" i="7" l="1"/>
  <c r="N156" i="7"/>
  <c r="N50" i="7"/>
  <c r="N143" i="7" s="1"/>
  <c r="N30" i="7"/>
  <c r="N35" i="7" s="1"/>
  <c r="S17" i="7" l="1"/>
  <c r="L178" i="7"/>
  <c r="U17" i="7"/>
  <c r="N178" i="7"/>
  <c r="N184" i="7" s="1"/>
  <c r="N353" i="7" s="1"/>
  <c r="U68" i="7"/>
  <c r="T68" i="7"/>
  <c r="S68" i="7"/>
  <c r="L343" i="7" l="1"/>
  <c r="D343" i="7" s="1"/>
  <c r="L339" i="7"/>
  <c r="D339" i="7" s="1"/>
  <c r="L335" i="7"/>
  <c r="D335" i="7" l="1"/>
  <c r="L351" i="7"/>
  <c r="R335" i="7"/>
  <c r="D334" i="7"/>
  <c r="D333" i="7"/>
  <c r="D332" i="7"/>
  <c r="K331" i="7"/>
  <c r="D331" i="7" s="1"/>
  <c r="R53" i="7" l="1"/>
  <c r="R68" i="7"/>
  <c r="D141" i="7" l="1"/>
  <c r="D140" i="7"/>
  <c r="J255" i="7" l="1"/>
  <c r="D234" i="7"/>
  <c r="D215" i="7" l="1"/>
  <c r="D208" i="7"/>
  <c r="D204" i="7"/>
  <c r="D138" i="7"/>
  <c r="D159" i="7"/>
  <c r="M156" i="7"/>
  <c r="K156" i="7"/>
  <c r="D23" i="7"/>
  <c r="D22" i="7"/>
  <c r="D34" i="7"/>
  <c r="D33" i="7"/>
  <c r="D32" i="7"/>
  <c r="M50" i="7"/>
  <c r="M143" i="7" s="1"/>
  <c r="M30" i="7"/>
  <c r="R17" i="7" l="1"/>
  <c r="K178" i="7"/>
  <c r="T17" i="7"/>
  <c r="M178" i="7"/>
  <c r="M268" i="7"/>
  <c r="M35" i="7"/>
  <c r="D213" i="7"/>
  <c r="D316" i="7"/>
  <c r="K322" i="7"/>
  <c r="D324" i="7"/>
  <c r="D320" i="7"/>
  <c r="M184" i="7" l="1"/>
  <c r="R47" i="7"/>
  <c r="M352" i="7"/>
  <c r="D330" i="7"/>
  <c r="D329" i="7"/>
  <c r="D328" i="7"/>
  <c r="K327" i="7"/>
  <c r="R48" i="7" s="1"/>
  <c r="D53" i="7"/>
  <c r="K351" i="7" l="1"/>
  <c r="K352" i="7" s="1"/>
  <c r="M353" i="7"/>
  <c r="D327" i="7"/>
  <c r="D326" i="7" l="1"/>
  <c r="D325" i="7" l="1"/>
  <c r="D323" i="7"/>
  <c r="D321" i="7"/>
  <c r="D319" i="7"/>
  <c r="D317" i="7"/>
  <c r="D315" i="7"/>
  <c r="D322" i="7"/>
  <c r="D318" i="7"/>
  <c r="D314" i="7" l="1"/>
  <c r="D313" i="7"/>
  <c r="D312" i="7"/>
  <c r="D311" i="7"/>
  <c r="J310" i="7"/>
  <c r="D310" i="7" s="1"/>
  <c r="D309" i="7" l="1"/>
  <c r="D308" i="7"/>
  <c r="D307" i="7"/>
  <c r="J306" i="7"/>
  <c r="D306" i="7" s="1"/>
  <c r="D305" i="7" l="1"/>
  <c r="D304" i="7"/>
  <c r="D303" i="7"/>
  <c r="J302" i="7"/>
  <c r="D302" i="7" s="1"/>
  <c r="D301" i="7"/>
  <c r="D300" i="7"/>
  <c r="D299" i="7"/>
  <c r="J298" i="7"/>
  <c r="D298" i="7" s="1"/>
  <c r="D297" i="7"/>
  <c r="D296" i="7"/>
  <c r="D295" i="7"/>
  <c r="J294" i="7" l="1"/>
  <c r="D294" i="7" s="1"/>
  <c r="D291" i="7"/>
  <c r="D292" i="7"/>
  <c r="D293" i="7"/>
  <c r="J290" i="7"/>
  <c r="J351" i="7" s="1"/>
  <c r="D351" i="7" s="1"/>
  <c r="D290" i="7" l="1"/>
  <c r="J222" i="7"/>
  <c r="J178" i="7"/>
  <c r="J154" i="7"/>
  <c r="D163" i="7" l="1"/>
  <c r="I178" i="7" l="1"/>
  <c r="D233" i="7" l="1"/>
  <c r="D173" i="7" l="1"/>
  <c r="L50" i="7" l="1"/>
  <c r="K50" i="7"/>
  <c r="K143" i="7" s="1"/>
  <c r="R39" i="7" l="1"/>
  <c r="L143" i="7"/>
  <c r="L268" i="7"/>
  <c r="L352" i="7" s="1"/>
  <c r="D227" i="7" l="1"/>
  <c r="D31" i="7" l="1"/>
  <c r="L30" i="7"/>
  <c r="K30" i="7"/>
  <c r="D25" i="7"/>
  <c r="D26" i="7"/>
  <c r="D27" i="7"/>
  <c r="L35" i="7"/>
  <c r="K35" i="7"/>
  <c r="K184" i="7" s="1"/>
  <c r="K353" i="7" s="1"/>
  <c r="L184" i="7" l="1"/>
  <c r="L353" i="7" s="1"/>
  <c r="J156" i="7" l="1"/>
  <c r="I156" i="7"/>
  <c r="J50" i="7"/>
  <c r="I50" i="7"/>
  <c r="D50" i="7" s="1"/>
  <c r="I222" i="7" l="1"/>
  <c r="D174" i="7" l="1"/>
  <c r="J30" i="7" l="1"/>
  <c r="I30" i="7"/>
  <c r="D30" i="7" l="1"/>
  <c r="D137" i="7"/>
  <c r="D121" i="7" l="1"/>
  <c r="I255" i="7" l="1"/>
  <c r="D219" i="7"/>
  <c r="I268" i="7" l="1"/>
  <c r="D136" i="7" l="1"/>
  <c r="D220" i="7" l="1"/>
  <c r="D218" i="7" l="1"/>
  <c r="E148" i="7" l="1"/>
  <c r="D148" i="7" s="1"/>
  <c r="D214" i="7" l="1"/>
  <c r="D120" i="7" l="1"/>
  <c r="D126" i="7"/>
  <c r="E122" i="7"/>
  <c r="F122" i="7"/>
  <c r="G122" i="7"/>
  <c r="H122" i="7"/>
  <c r="I122" i="7"/>
  <c r="D235" i="7" l="1"/>
  <c r="J44" i="7" l="1"/>
  <c r="J143" i="7" s="1"/>
  <c r="I44" i="7"/>
  <c r="I143" i="7" s="1"/>
  <c r="H255" i="7" l="1"/>
  <c r="D242" i="7" l="1"/>
  <c r="D241" i="7"/>
  <c r="F288" i="7" l="1"/>
  <c r="E288" i="7"/>
  <c r="D212" i="7" l="1"/>
  <c r="D207" i="7"/>
  <c r="H178" i="7" l="1"/>
  <c r="H222" i="7"/>
  <c r="D125" i="7"/>
  <c r="D83" i="7"/>
  <c r="D42" i="7" l="1"/>
  <c r="G35" i="7"/>
  <c r="F44" i="7"/>
  <c r="G44" i="7"/>
  <c r="H44" i="7"/>
  <c r="I154" i="7" l="1"/>
  <c r="F255" i="7" l="1"/>
  <c r="F40" i="7"/>
  <c r="G40" i="7"/>
  <c r="H40" i="7"/>
  <c r="I40" i="7"/>
  <c r="E67" i="7"/>
  <c r="D67" i="7" s="1"/>
  <c r="G186" i="7"/>
  <c r="G189" i="7"/>
  <c r="E115" i="7"/>
  <c r="F115" i="7"/>
  <c r="G115" i="7"/>
  <c r="H115" i="7"/>
  <c r="I115" i="7"/>
  <c r="F112" i="7"/>
  <c r="G112" i="7"/>
  <c r="H112" i="7"/>
  <c r="I112" i="7"/>
  <c r="F37" i="7"/>
  <c r="G37" i="7"/>
  <c r="H37" i="7"/>
  <c r="I37" i="7"/>
  <c r="J24" i="7"/>
  <c r="G24" i="7"/>
  <c r="H24" i="7"/>
  <c r="H35" i="7" s="1"/>
  <c r="D24" i="7" l="1"/>
  <c r="J35" i="7"/>
  <c r="H143" i="7"/>
  <c r="D143" i="7" s="1"/>
  <c r="I35" i="7"/>
  <c r="I184" i="7" s="1"/>
  <c r="D124" i="7"/>
  <c r="D123" i="7"/>
  <c r="J184" i="7" l="1"/>
  <c r="D122" i="7"/>
  <c r="D39" i="7"/>
  <c r="E38" i="7"/>
  <c r="E37" i="7" s="1"/>
  <c r="D38" i="7"/>
  <c r="D216" i="7"/>
  <c r="D217" i="7"/>
  <c r="D132" i="7"/>
  <c r="H154" i="7"/>
  <c r="E255" i="7"/>
  <c r="G255" i="7"/>
  <c r="E268" i="7"/>
  <c r="F268" i="7"/>
  <c r="G268" i="7"/>
  <c r="H268" i="7"/>
  <c r="J268" i="7"/>
  <c r="E66" i="7"/>
  <c r="D66" i="7" s="1"/>
  <c r="A122" i="7"/>
  <c r="E145" i="7"/>
  <c r="D145" i="7" s="1"/>
  <c r="E149" i="7"/>
  <c r="D149" i="7" s="1"/>
  <c r="E151" i="7"/>
  <c r="D151" i="7" s="1"/>
  <c r="F154" i="7"/>
  <c r="G154" i="7"/>
  <c r="A118" i="7"/>
  <c r="J288" i="7"/>
  <c r="I288" i="7"/>
  <c r="I352" i="7" s="1"/>
  <c r="H288" i="7"/>
  <c r="G288" i="7"/>
  <c r="D270" i="7"/>
  <c r="D259" i="7"/>
  <c r="D239" i="7"/>
  <c r="D229" i="7"/>
  <c r="D224" i="7"/>
  <c r="F222" i="7"/>
  <c r="E206" i="7"/>
  <c r="E222" i="7" s="1"/>
  <c r="D205" i="7"/>
  <c r="D203" i="7"/>
  <c r="D202" i="7"/>
  <c r="D201" i="7"/>
  <c r="H195" i="7"/>
  <c r="I194" i="7"/>
  <c r="H194" i="7"/>
  <c r="G194" i="7"/>
  <c r="I193" i="7"/>
  <c r="H193" i="7"/>
  <c r="G193" i="7"/>
  <c r="I192" i="7"/>
  <c r="H192" i="7"/>
  <c r="G192" i="7"/>
  <c r="I191" i="7"/>
  <c r="H191" i="7"/>
  <c r="G191" i="7"/>
  <c r="I190" i="7"/>
  <c r="H190" i="7"/>
  <c r="G190" i="7"/>
  <c r="I189" i="7"/>
  <c r="H189" i="7"/>
  <c r="I187" i="7"/>
  <c r="I197" i="7" s="1"/>
  <c r="H187" i="7"/>
  <c r="H197" i="7" s="1"/>
  <c r="G187" i="7"/>
  <c r="G197" i="7" s="1"/>
  <c r="I186" i="7"/>
  <c r="H186" i="7"/>
  <c r="G178" i="7"/>
  <c r="F178" i="7"/>
  <c r="D176" i="7"/>
  <c r="D175" i="7"/>
  <c r="E169" i="7"/>
  <c r="D169" i="7" s="1"/>
  <c r="D168" i="7"/>
  <c r="I167" i="7"/>
  <c r="H167" i="7"/>
  <c r="G167" i="7"/>
  <c r="F167" i="7"/>
  <c r="E161" i="7"/>
  <c r="D161" i="7" s="1"/>
  <c r="E160" i="7"/>
  <c r="D160" i="7" s="1"/>
  <c r="E158" i="7"/>
  <c r="D158" i="7" s="1"/>
  <c r="D156" i="7" s="1"/>
  <c r="D117" i="7"/>
  <c r="D116" i="7"/>
  <c r="E114" i="7"/>
  <c r="D114" i="7" s="1"/>
  <c r="E113" i="7"/>
  <c r="E111" i="7"/>
  <c r="D111" i="7" s="1"/>
  <c r="D109" i="7"/>
  <c r="E107" i="7"/>
  <c r="D107" i="7" s="1"/>
  <c r="D105" i="7"/>
  <c r="D102" i="7"/>
  <c r="E101" i="7"/>
  <c r="D101" i="7" s="1"/>
  <c r="D97" i="7"/>
  <c r="D96" i="7"/>
  <c r="E94" i="7"/>
  <c r="D94" i="7" s="1"/>
  <c r="D90" i="7"/>
  <c r="D89" i="7"/>
  <c r="D88" i="7"/>
  <c r="E51" i="7"/>
  <c r="D51" i="7" s="1"/>
  <c r="E45" i="7"/>
  <c r="E44" i="7" s="1"/>
  <c r="E43" i="7"/>
  <c r="D43" i="7" s="1"/>
  <c r="E41" i="7"/>
  <c r="F17" i="7"/>
  <c r="F35" i="7" s="1"/>
  <c r="E17" i="7"/>
  <c r="D118" i="7"/>
  <c r="D17" i="7" l="1"/>
  <c r="J352" i="7"/>
  <c r="J353" i="7" s="1"/>
  <c r="D222" i="7"/>
  <c r="D255" i="7"/>
  <c r="D268" i="7"/>
  <c r="D154" i="7"/>
  <c r="I353" i="7"/>
  <c r="E352" i="7"/>
  <c r="F352" i="7"/>
  <c r="E35" i="7"/>
  <c r="D35" i="7" s="1"/>
  <c r="H352" i="7"/>
  <c r="D37" i="7"/>
  <c r="D41" i="7"/>
  <c r="D113" i="7"/>
  <c r="D112" i="7" s="1"/>
  <c r="E112" i="7"/>
  <c r="D45" i="7"/>
  <c r="D44" i="7" s="1"/>
  <c r="G196" i="7"/>
  <c r="G198" i="7" s="1"/>
  <c r="D115" i="7"/>
  <c r="D206" i="7"/>
  <c r="G352" i="7"/>
  <c r="D288" i="7"/>
  <c r="E178" i="7"/>
  <c r="D178" i="7" s="1"/>
  <c r="E167" i="7"/>
  <c r="D167" i="7" s="1"/>
  <c r="I196" i="7"/>
  <c r="I198" i="7" s="1"/>
  <c r="G184" i="7"/>
  <c r="F184" i="7"/>
  <c r="H196" i="7"/>
  <c r="H198" i="7" s="1"/>
  <c r="H188" i="7"/>
  <c r="I188" i="7"/>
  <c r="G188" i="7"/>
  <c r="D352" i="7" l="1"/>
  <c r="F353" i="7"/>
  <c r="G353" i="7"/>
  <c r="E184" i="7"/>
  <c r="D184" i="7" s="1"/>
  <c r="E353" i="7" l="1"/>
  <c r="D353" i="7" s="1"/>
  <c r="D420" i="7"/>
</calcChain>
</file>

<file path=xl/sharedStrings.xml><?xml version="1.0" encoding="utf-8"?>
<sst xmlns="http://schemas.openxmlformats.org/spreadsheetml/2006/main" count="1057" uniqueCount="540">
  <si>
    <t xml:space="preserve">ПЕРЕЧЕНЬ </t>
  </si>
  <si>
    <t>№п/п</t>
  </si>
  <si>
    <t>Наименование мероприятия</t>
  </si>
  <si>
    <t>Источники финансирования</t>
  </si>
  <si>
    <t>Сумма расходов, всего, тыс.руб.</t>
  </si>
  <si>
    <t>в том числе по годам</t>
  </si>
  <si>
    <t>Срок реализации</t>
  </si>
  <si>
    <t>Ответственные за реализацию мероприятий</t>
  </si>
  <si>
    <t>Ожидаемый результат (значения  показателей за весь период реализации, в том числе по годам)</t>
  </si>
  <si>
    <t>1.1.1</t>
  </si>
  <si>
    <t>Обеспечение города уличным освещением</t>
  </si>
  <si>
    <t>1.1.2</t>
  </si>
  <si>
    <t>1.1.3</t>
  </si>
  <si>
    <t>1.1.4</t>
  </si>
  <si>
    <t>Приведение схем коммунального комплекса города в соответствие с корректурой генерального плана города Курска</t>
  </si>
  <si>
    <t>1.2.1</t>
  </si>
  <si>
    <t>Содержание дорог и тротуаров (уборка)</t>
  </si>
  <si>
    <t>всего</t>
  </si>
  <si>
    <t>областной бюджет</t>
  </si>
  <si>
    <t>2019 г.</t>
  </si>
  <si>
    <t>1.2.2</t>
  </si>
  <si>
    <t>Проведение ямочного, текущего ремонта дорог, тротуаров, капитального ремонта тротуаров</t>
  </si>
  <si>
    <t>1.2.3</t>
  </si>
  <si>
    <t>Проведение ремонта, помывки, покраски ограждений</t>
  </si>
  <si>
    <t>1.2.4</t>
  </si>
  <si>
    <t>Покос и уборка  газонов вдоль дорог и тротуаров</t>
  </si>
  <si>
    <t>1.2.5</t>
  </si>
  <si>
    <t>Выполнение капремонта с изготовлением ПСД, ремонта, содержания инженерных сооружений - всего, в том числе:</t>
  </si>
  <si>
    <t xml:space="preserve">Обеспечение функционирования инженерных сооружений  </t>
  </si>
  <si>
    <t>ремонта колодцев и ливнеприемников</t>
  </si>
  <si>
    <t>ремонта подпорных стен</t>
  </si>
  <si>
    <t>Улучшение внешнего вида и устранение неисправностей  1 стены</t>
  </si>
  <si>
    <t>обследования, капремонта, ремонта путепроводов</t>
  </si>
  <si>
    <t xml:space="preserve">Обеспечение безопасности при эксплуатации 1 путепровода </t>
  </si>
  <si>
    <t>капремонта, ремонта подземных, надземных пешеходных переходов</t>
  </si>
  <si>
    <t>1.2.6</t>
  </si>
  <si>
    <t>1.2.7</t>
  </si>
  <si>
    <t>Проведение прочих мероприятий по благоустройству - всего, в том числе:</t>
  </si>
  <si>
    <t>Ограничение возможности перехода улиц в неустановленных местах. Создание удобств для граждан в ожидании транспорта и отдыха.</t>
  </si>
  <si>
    <t>устройство, замена, ремонт дорожных ограждений</t>
  </si>
  <si>
    <t>установка остановочных павильонов</t>
  </si>
  <si>
    <t>ремонт  остановочных павильонов</t>
  </si>
  <si>
    <t>Улучшение внешнего вида 14 павильонов</t>
  </si>
  <si>
    <t>ремонт скамеек</t>
  </si>
  <si>
    <t>Улучшение внешнего вида 10 скамеек</t>
  </si>
  <si>
    <t>установка скамеек</t>
  </si>
  <si>
    <t>Создание удобств для граждан  в результате установки 3 скамеек</t>
  </si>
  <si>
    <t>установка, ремонт урн и др.</t>
  </si>
  <si>
    <t>Улучшение внешнего вида 40 урн</t>
  </si>
  <si>
    <t>1.2.8</t>
  </si>
  <si>
    <t>Проведение работ по защите населения и территории города Курска от подтопления</t>
  </si>
  <si>
    <t>Снижение риска  подтоплений частных домовладений, находящихся вблизи рек в городе Курске</t>
  </si>
  <si>
    <t>Комитет  экологической безопасности и природопользования г.Курска</t>
  </si>
  <si>
    <t>1.2.9</t>
  </si>
  <si>
    <t xml:space="preserve">Подготовка пляжей в городе к купальному сезону и их содержание </t>
  </si>
  <si>
    <t>1.2.10</t>
  </si>
  <si>
    <t xml:space="preserve">Отлов и содержание в пункте передержки бездомных животных  </t>
  </si>
  <si>
    <t>областной бюджет (субвенция)</t>
  </si>
  <si>
    <t>Улучшение санитарно-эпидемиологической ситуации путем вакцинации и стерилизации животных без владельцев 590 голов</t>
  </si>
  <si>
    <t>1.2.11</t>
  </si>
  <si>
    <t>1.2.12</t>
  </si>
  <si>
    <t>Уборка  и содержание   кладбищ</t>
  </si>
  <si>
    <t>1.2.13</t>
  </si>
  <si>
    <t xml:space="preserve">Проведение благоустройства кладбищ </t>
  </si>
  <si>
    <t>1.2.14</t>
  </si>
  <si>
    <t>Обеспечение надлежащего санитарного состояния мемориального комплекса "Курская Дуга"</t>
  </si>
  <si>
    <t>1.2.15</t>
  </si>
  <si>
    <t>Обеспечение функционирования "Вечного огня" (оплата газа и его транспортировки)</t>
  </si>
  <si>
    <t>1.2.16</t>
  </si>
  <si>
    <t>Реализация малого проекта в сфере благоустройства территории муниципального образования "Город Курск"</t>
  </si>
  <si>
    <t>Всего</t>
  </si>
  <si>
    <t>Реализация 2 проектов</t>
  </si>
  <si>
    <t>областной бюджет (субсидия)</t>
  </si>
  <si>
    <t>Реализация 1 проекта</t>
  </si>
  <si>
    <t>1.3.1</t>
  </si>
  <si>
    <t>Повышение комфортности проживания граждан, увеличение срока эксплуатации жилищного фонда</t>
  </si>
  <si>
    <t>разработка ПСД</t>
  </si>
  <si>
    <t>1.3.2</t>
  </si>
  <si>
    <t>Организация проведения экспертизы, обследования с последующим получением заключений о техническом состоянии строительных конструкций и тех.паспортов, инвентаризация муниципального жилищного фонда</t>
  </si>
  <si>
    <t>1.3.3</t>
  </si>
  <si>
    <t>Ликвидация 2 аварийных домов</t>
  </si>
  <si>
    <t>1.3.4</t>
  </si>
  <si>
    <t xml:space="preserve">Содержание помещений, оплата за коммунальные и жилищные услуги по  муниципальному жилищному  фонду  </t>
  </si>
  <si>
    <t>1.3.5</t>
  </si>
  <si>
    <t>Осуществление взносов на капитальный ремонт по муниципальному жилищному фонду</t>
  </si>
  <si>
    <t xml:space="preserve">Оплата взносов на капитальный ремонт за муниципальный жилищный фонд. </t>
  </si>
  <si>
    <t>1.3.6</t>
  </si>
  <si>
    <t>Осуществление взносов на капитальный ремонт по муниципальному нежилому фонду</t>
  </si>
  <si>
    <t xml:space="preserve">Оплата взносов на капитальный ремонт за муниципальный нежилой фонд. </t>
  </si>
  <si>
    <t>1.4.1</t>
  </si>
  <si>
    <t>всего в т.ч.</t>
  </si>
  <si>
    <t>Уровень выполнения полномочий 100%</t>
  </si>
  <si>
    <t>1.4.2</t>
  </si>
  <si>
    <t xml:space="preserve">Осуществление налоговых платежей по налогам на имущество и землю  </t>
  </si>
  <si>
    <t>Отсутствие задолженности по налогам</t>
  </si>
  <si>
    <t>1.4.3</t>
  </si>
  <si>
    <t xml:space="preserve">
МКУ "Городская инспекция по жилищно-коммунальному хозяйству и благоустройству" </t>
  </si>
  <si>
    <t>1.4.4</t>
  </si>
  <si>
    <t>Предоставление услуг по  приему документов, расчету и перерасчету субсидий и компенсационных выплат по ЖКУ</t>
  </si>
  <si>
    <t xml:space="preserve">
МКУ «Многофункциональный центр предоставления государственных и муниципальных услуг города Курска»</t>
  </si>
  <si>
    <t>1.4.5</t>
  </si>
  <si>
    <t>не требует финансирования</t>
  </si>
  <si>
    <t>Управление муниципального контроля города Курска</t>
  </si>
  <si>
    <t>1.4.6</t>
  </si>
  <si>
    <t>1.4.7</t>
  </si>
  <si>
    <t>Проведение поверки средств измерений</t>
  </si>
  <si>
    <t>Обеспечение точности замера коммунальных ресурсов в результате ежегодной поверки средств измерения.</t>
  </si>
  <si>
    <t>1.4.8</t>
  </si>
  <si>
    <t>Организация работ по выполнению полномочий для решения вопросов местного значения в сфере благоустройства</t>
  </si>
  <si>
    <t>1.5.1</t>
  </si>
  <si>
    <t>Размещение информации о деятельности в сфере жилищно-коммунального хозяйства на официальном сайте Администрации города Курска</t>
  </si>
  <si>
    <t xml:space="preserve">Повышение информированности населения о деятельности органов местного самоуправления в сфере жилищно-коммунального хозяйства, ежегодно 3 публикации  </t>
  </si>
  <si>
    <t>1.5.2</t>
  </si>
  <si>
    <t>Размещение информации в информационной системе ГИС ЖКХ</t>
  </si>
  <si>
    <t>Повышения прозрачности деятельности органов власти и организаций в сфере жилищно-коммунального хозяйства.</t>
  </si>
  <si>
    <t>комитет ЖКХ м.б.</t>
  </si>
  <si>
    <t>о.б</t>
  </si>
  <si>
    <t>итого</t>
  </si>
  <si>
    <t>экология</t>
  </si>
  <si>
    <t>Ц/о</t>
  </si>
  <si>
    <t>Ж/о</t>
  </si>
  <si>
    <t>С/о</t>
  </si>
  <si>
    <t>Имущество</t>
  </si>
  <si>
    <t>Мун. Контроль</t>
  </si>
  <si>
    <t>департ. строительства</t>
  </si>
  <si>
    <t>ИТОГО М.Б.</t>
  </si>
  <si>
    <t>ИТОГО О.Б.</t>
  </si>
  <si>
    <t>ВСЕГО</t>
  </si>
  <si>
    <t xml:space="preserve"> 2.1.1.</t>
  </si>
  <si>
    <t>Организация наблюдения за состоянием объектов охраны окружающей природной среды на территории города</t>
  </si>
  <si>
    <t xml:space="preserve">Определение уровня загрязненности на 5 объектах ежегодно
</t>
  </si>
  <si>
    <t>2.1.2.</t>
  </si>
  <si>
    <t>Организация работ по расчистке и благоустройству, расположенных на территории города родников, рек, водоемов и прилегающих к ним зон</t>
  </si>
  <si>
    <t>2.1.3.</t>
  </si>
  <si>
    <t>Вывоз и утилизация мусора с городских территорий 9637,5 м3</t>
  </si>
  <si>
    <t>Содержание особо охраняемых территорий местного значения (Крутой лог и др.)</t>
  </si>
  <si>
    <t>Сохранение и развитие особо охраняемых природных территорий на площади 217 га</t>
  </si>
  <si>
    <t>2.2.1.</t>
  </si>
  <si>
    <t>Оздоровление существующих зеленых насаждений  за счет:</t>
  </si>
  <si>
    <t xml:space="preserve">- удаления (сноса) аварийных, больных, малоценных насаждений объемом  2,2 тыс. куб. м (1 тыс. шт.)
</t>
  </si>
  <si>
    <t xml:space="preserve">- обрезки деревьев 2,9 тыс. шт.
</t>
  </si>
  <si>
    <t>2.2.2.</t>
  </si>
  <si>
    <t xml:space="preserve">Озеленение  территории города за счет: </t>
  </si>
  <si>
    <t xml:space="preserve">- древесно-кустарниковых насаждений  высаженных в количестве 3 тыс. шт. </t>
  </si>
  <si>
    <t xml:space="preserve">- газонов и цветников, высаженных по улицам города на площади 0,63 га </t>
  </si>
  <si>
    <t>2.2.3.</t>
  </si>
  <si>
    <t>2.2.4.</t>
  </si>
  <si>
    <t>Сохранение защитных, оздоровительных и иных полезных функций городских лесов  за счет:</t>
  </si>
  <si>
    <t xml:space="preserve">очистки лесных участков от нежелательных древесно - кустарниковых насаждений и захламления на площади 5 га </t>
  </si>
  <si>
    <t>2.2.5.</t>
  </si>
  <si>
    <t>Организация работ по инвентаризации существующих зеленых насаждений на территории объектов озеленения общего пользования</t>
  </si>
  <si>
    <t>Повышение эффективности управления зелеными насаждениями в городе Курске и создание условий для их развития за счет оценки состояния существующих зеленых насаждений на 5 объектах</t>
  </si>
  <si>
    <t xml:space="preserve"> </t>
  </si>
  <si>
    <t>2.3.1.</t>
  </si>
  <si>
    <t>Организация и проведение мероприятий информационного, рекламно-просветительного, познавательного характера в сфере экологии и охраны окружающей среды</t>
  </si>
  <si>
    <t>2.3.2.</t>
  </si>
  <si>
    <t>Проведение  экологических конкурсов «Забота делового и промышленного мира города об окружающей среде» и «Лучшая усадьба, придворовая территория, улица, дачный участок»</t>
  </si>
  <si>
    <t xml:space="preserve">Повышение личного вклада граждан в создание эстетически привлекательных и экологически здоровых мест на территории города за счет проведения 2 экологических конкурсов 
и привлечения 150  участников в конкурсах 
</t>
  </si>
  <si>
    <t>2.4.1.</t>
  </si>
  <si>
    <t>Финансовое обеспечение деятельности комитета экологической безопасности и природопользования города Курска</t>
  </si>
  <si>
    <t>Уровень исполнения полномочий - 100 %</t>
  </si>
  <si>
    <t>2.4.2.</t>
  </si>
  <si>
    <t>Осуществление муниципального лесного контроля</t>
  </si>
  <si>
    <t xml:space="preserve">Предотвращение нарушений законодательства Российской Федерации путем проведения: </t>
  </si>
  <si>
    <t>2.4.3.</t>
  </si>
  <si>
    <t>Осуществление муниципальной экспертизы проектов освоения лесов</t>
  </si>
  <si>
    <t>Комитет экологической безопасности и природопользования г. Курска</t>
  </si>
  <si>
    <t xml:space="preserve">Повышение уровня рационального использования лесных ресурсов путем выдачи 5 экспертных заключений  </t>
  </si>
  <si>
    <t>2.4.4.</t>
  </si>
  <si>
    <t>Проведение инвентаризации зеленых насаждений</t>
  </si>
  <si>
    <t>Предотвращение незаконного сноса зеленых насаждений</t>
  </si>
  <si>
    <t>2.4.5.</t>
  </si>
  <si>
    <t xml:space="preserve">Контроль состояния территории города Курска </t>
  </si>
  <si>
    <t>2.4.6.</t>
  </si>
  <si>
    <t xml:space="preserve">                                                  Обследование зеленых насаждений по заявлениям физических и юридических лиц</t>
  </si>
  <si>
    <t xml:space="preserve">Предотвращение незаконного сноса (обрезки, пересадки) зеленых насаждений, а также изъятие газонов в границах городской черты путем выдачи разрешений  на снос (обрезку, пересадку) зеленых насаждений 0,5 тыс. шт. </t>
  </si>
  <si>
    <t>2.4.7.</t>
  </si>
  <si>
    <t>Разработка нормативных правовых актов администрации города Курска в сфере экологии и внесение изменений в действующие правовые акты</t>
  </si>
  <si>
    <t>ВСЕГО по программе</t>
  </si>
  <si>
    <t>капремонта, ремонта сооружений защиты от подтоплений</t>
  </si>
  <si>
    <t xml:space="preserve">Обеспечение безопасности и улучшения качества стока ливневых вод  1 сооружения защиты от подтопления </t>
  </si>
  <si>
    <t xml:space="preserve">МКУ "Городская инспекция по жилищно-коммунальному хозяйству и благоустройству" </t>
  </si>
  <si>
    <t>всего, в т.ч.:</t>
  </si>
  <si>
    <t xml:space="preserve">федеральный бюджет </t>
  </si>
  <si>
    <t>прочие источники</t>
  </si>
  <si>
    <t>Увеличение надежности функционирования системы теплоснабжения города Курска</t>
  </si>
  <si>
    <t>1.1.5</t>
  </si>
  <si>
    <t>2.2.6.</t>
  </si>
  <si>
    <t>Организация работ по корректировке результатов инвентаризации существующих зеленых насаждений на территории объектов озеленения общего пользования</t>
  </si>
  <si>
    <t xml:space="preserve">Благоустройство и содержание парков, скверов, мемориального комплекса "Памяти павших в годы Великой Отечественной Войны 1941-1945 годов", бульваров и  других памятных мест и зон отдыха на территории города Курска 
</t>
  </si>
  <si>
    <t>Создание/реконструкция элементов благоустройства - мест (площадок) накопления  ТКО на муниципальных земельных участках, в том числе на земельных участках, в отношении которых государственная собственность не разграничена</t>
  </si>
  <si>
    <t>Разработка проекта рекультивации земельного участка, расположенного по адресу: г. Курск, ул. Гунатовская, д. 32</t>
  </si>
  <si>
    <t>Комитет городского хозяйства города Курска</t>
  </si>
  <si>
    <t xml:space="preserve">1 проект рекультивации земельного участка по ул. Гунатовская, д. 32 </t>
  </si>
  <si>
    <t xml:space="preserve">Проведение рекультивации земельного участка, расположенного по адресу: г. Курск, ул. Гунатовская, д. 32 </t>
  </si>
  <si>
    <t>Проведение рекультивации земельного участка, загрязненного химическими веществами, расположенного в кадастровом квартале 46:29:103145 вблизи двухэтажных жилых домов: №1, №2, №3, №4, находящихся в пер. Центральный в районе ул. Голубиная (Сеймский округ г. Курска)</t>
  </si>
  <si>
    <t>Рекультивация 1 земельного участка, расположенного вблизи двухэтажных жилых домов: №1, №2, №3, №4, находящихся в пер. Центральный в районе ул. Голубиная</t>
  </si>
  <si>
    <t>2.1.4.</t>
  </si>
  <si>
    <t>Разработка 9 паспортов отходов</t>
  </si>
  <si>
    <t>2.1.5.</t>
  </si>
  <si>
    <t>2.1.6.</t>
  </si>
  <si>
    <t>2.1.7.</t>
  </si>
  <si>
    <t>2.1.9.</t>
  </si>
  <si>
    <t>1.2.19.</t>
  </si>
  <si>
    <t>Администрация Центрального округа города Курска</t>
  </si>
  <si>
    <t xml:space="preserve">Проведение работ по демонтажу самовольно установленных временных сооружений, а также хранению демонтированных объектов и описанного имущества в г. Курске
</t>
  </si>
  <si>
    <t>Организация и проведение на территории муниципального образования "Город Курск" проверок соблюдения юридическими лицами, индивидуальными предпринимателями и гражданами обязательных требований, установленных действующим законодательством в рамках осуществления муниципального контроля</t>
  </si>
  <si>
    <t>Посадка зеленых насаждений; проектирование, создание, реконструкция (восстановление) газонов и цветников, содержание и уход за объектами озеленения</t>
  </si>
  <si>
    <t>Разработка и внедрение системы всеобщего непрерывного экологического просвещения и образования в дошкольных учреждениях, школах, средних, высших учебных заведениях, на производстве и через СМИ</t>
  </si>
  <si>
    <t>не требует финансирование</t>
  </si>
  <si>
    <t>2.3.3.</t>
  </si>
  <si>
    <t>2.3.4.</t>
  </si>
  <si>
    <t>Проведение массовых экологических акций (велопробеги, субботники, экологические фестивали), активное использование принципов демократии и вовлечение горожан в обсуждение и решение экологических проблем</t>
  </si>
  <si>
    <t>2.3.5.</t>
  </si>
  <si>
    <t>Формирование зеленого каркаса города, состоящего из зелёных общественных пространств</t>
  </si>
  <si>
    <t>2.2.7</t>
  </si>
  <si>
    <t>Развитие городских общественных пространств и зеленых зон, недопущение застройки парковых территорий</t>
  </si>
  <si>
    <t>Экологизация поведения жителей, распространение в рамках информационных акций идей «зеленой экономики», направленных на минимизацию экологического вреда и сохранение естественных экосистем, формирование экологического мировоззрения</t>
  </si>
  <si>
    <t>2.2.8.</t>
  </si>
  <si>
    <t xml:space="preserve">               </t>
  </si>
  <si>
    <t>1.2.20.</t>
  </si>
  <si>
    <t>Благоустройство территории на пересечении ул. Ленина и ул. Кати Зеленко</t>
  </si>
  <si>
    <t>1.2.21.</t>
  </si>
  <si>
    <t>Благоустройство территории на 
ул. Дзержинского, 64/2 (угол ул. Дзержинского- ул. Белинского)</t>
  </si>
  <si>
    <t>Обеспечение целостности элементов благоустройства города, располагающихся на охраняемой территории города</t>
  </si>
  <si>
    <t>Паспортизация отходов, расположенных на несанкционированных свалках, в том числе на территории городских лесов</t>
  </si>
  <si>
    <t>Разработка, актуализация программ и схем коммунального комплекса города</t>
  </si>
  <si>
    <t xml:space="preserve"> мероприятий  муниципальной программы «Организация предоставления населению жилищно-коммунальных услуг, благоустройство и охрана окружающей среды в городе Курске»</t>
  </si>
  <si>
    <t>Участие в организации деятельности по сбору (в том числе раздельному), транспортированию, обработке, утилизации, обезвреживанию, захоронению твердых коммунальных отходов (ТКО), в т.ч. при ликвидации несанкционированных свалок на общественных территориях, включая их выявление (в том числе на территории городских лесов)</t>
  </si>
  <si>
    <t>Комитет ЖКХ  города Курска</t>
  </si>
  <si>
    <t>0.0</t>
  </si>
  <si>
    <t>Обеспечение безопасности гидротехнических сооружений</t>
  </si>
  <si>
    <t>Внесение в российский регистр гидротехнических сооружений 1 объекта</t>
  </si>
  <si>
    <t>Комитет ЖКХ города Курска</t>
  </si>
  <si>
    <t>Комитет городского хозяйства города Курска                       МКУ "УКС города Курска"</t>
  </si>
  <si>
    <t>Комитет по управлению муниципальным имуществом города Курска</t>
  </si>
  <si>
    <t>Управление информации и печати Администрации города Курска</t>
  </si>
  <si>
    <t>Приобретение контейнеров для сбора ТКО, в том числе для раздельного накопления ТКО на контейнерных площадках</t>
  </si>
  <si>
    <t xml:space="preserve">внебюджетные источники </t>
  </si>
  <si>
    <t>приобретение, изготовление, установка(монтаж), ремонт, замена, обслуживание (содержание), демонтаж и доставка на место хранения элементов благоустройства и элементов детского игрового оборудования на территории города Курска</t>
  </si>
  <si>
    <t>оказание услуг по охране территорий, на которых распологаются элементы благоустройства города</t>
  </si>
  <si>
    <t>федеральный  бюджет</t>
  </si>
  <si>
    <t>приобретение, установка (монтаж), ремонт,замена, обслуживание(содержание), демонтаж и доставка на место хранения биотуалетов, мусорных контейнеров и прочего инвентаря</t>
  </si>
  <si>
    <t>приобретение, установка (монтаж), ремонт,замена, обслуживание(содержание), демонтаж и доставка на место хранения флагов и рам для флаговых костров на территории города Курска</t>
  </si>
  <si>
    <t>Комитет городского хозяйсва города Курска</t>
  </si>
  <si>
    <t xml:space="preserve">Приведение в надлежащий вид флагов для проведения общегородских праздников </t>
  </si>
  <si>
    <t>Инвестор</t>
  </si>
  <si>
    <t xml:space="preserve">приобретение, установка (монтаж), ремонт, замена, обслуживание (содержание), демонтаж и доставка на место хранения элементов благоустройства на территории города Курска
</t>
  </si>
  <si>
    <t xml:space="preserve">Организация работ по лесоустройству, разработке (корректировке) лесохозяйственного регламента, содержанию, благоустройству, защите, охране и восстановлению городских лесов, создание и сохранение мест отдыха
</t>
  </si>
  <si>
    <t xml:space="preserve">Организация работ по лесоустройству, разработке (корректировке) лесохозяйственного регламента, содержанию, благоустройству,защите, охране и восстановлению городских лесов, лесов особо охраняемых природных территорий, организация формирования охранных особо охраняемых природных территорий муниципального значения и установление их границ, создание и сохранение мест отдыха  </t>
  </si>
  <si>
    <t xml:space="preserve">Капитальный ремонт, ремонт, техническое обслуживание сетей уличного освещения, иллюминации, приобретение, установка (монтаж), демонтаж и прочие работы по  уличному освещению </t>
  </si>
  <si>
    <t>капремонта, ремонта, очистки и промывки ливневой канализации</t>
  </si>
  <si>
    <t xml:space="preserve">            </t>
  </si>
  <si>
    <t xml:space="preserve">                                      </t>
  </si>
  <si>
    <t>Администрация Сеймского округа города Курска</t>
  </si>
  <si>
    <t>Администрация Железнодорожного округа города Курска</t>
  </si>
  <si>
    <t>Админстрация Сеймского округа города Курска</t>
  </si>
  <si>
    <t>1.2.22.</t>
  </si>
  <si>
    <t>Проведение работ по демонтажу незаконно-размещенного волоконно-оптического кабеля и других видов кабеля и иного оборудования с городских опор наружного освещения</t>
  </si>
  <si>
    <t xml:space="preserve">Улучшение внешнего вида и устранение неисправностей </t>
  </si>
  <si>
    <t>1 проект на рекультивацию земельного участка, расположенного вблизи двухэтажных домов: №1, №2, №3, №4, находящихся в пер. Центральный в районе ул. Голубиная</t>
  </si>
  <si>
    <t>бюджет города Курска</t>
  </si>
  <si>
    <t xml:space="preserve">бюджет города Курска </t>
  </si>
  <si>
    <t>бюджет города курска</t>
  </si>
  <si>
    <t>ремонта пешеходных лестниц</t>
  </si>
  <si>
    <t>Содержание, ремонт насосных станций ливневых вод</t>
  </si>
  <si>
    <t xml:space="preserve">                                                         </t>
  </si>
  <si>
    <t>».</t>
  </si>
  <si>
    <t>2023 г.</t>
  </si>
  <si>
    <t>2020 г.</t>
  </si>
  <si>
    <t>2022 г.</t>
  </si>
  <si>
    <t xml:space="preserve">
2019 г.</t>
  </si>
  <si>
    <t>Поддержание в надлежащем состоянии дорожных ограждений   14576 м2 ограждений  в 2019 г.</t>
  </si>
  <si>
    <t>Обеспечение чистоты на газонах вдоль дорог в городе  2147,6  тыс. м2 в 2019 г.</t>
  </si>
  <si>
    <t xml:space="preserve">Обеспечение пропускной способности дождевых и талых вод на  ливневой канализации 60 450 м.п., в т.ч. 2020 г.- 450 п.м., в 2021 г. - 15000 м.п. </t>
  </si>
  <si>
    <t xml:space="preserve">Улучшение внешнего вида, в 2019 г. 7 лестниц </t>
  </si>
  <si>
    <t>Обеспечение функционирования   фонтанов, в 2020 г. - 3 шт.</t>
  </si>
  <si>
    <t>Улучшение внешнего вида 1 надземного перехода в 2019 г.</t>
  </si>
  <si>
    <t>Демонтаж нестационарных торговых объектов в 2022 г. - 10 ед.</t>
  </si>
  <si>
    <t>Комитет  экологической безопасности и природопользования г. Курска</t>
  </si>
  <si>
    <t>рейдовых обследований участков  в 2020 г. - 1235 шт.</t>
  </si>
  <si>
    <t>плановых проверок в 2020 г. - 2 шт.;</t>
  </si>
  <si>
    <t>2019 - 2020 гг.</t>
  </si>
  <si>
    <t>2023 - 2024 гг.</t>
  </si>
  <si>
    <t>2020 - 2021 гг.</t>
  </si>
  <si>
    <t>2020 - 2022 гг.</t>
  </si>
  <si>
    <t xml:space="preserve"> 2021 - 2022 гг.</t>
  </si>
  <si>
    <t xml:space="preserve">Увеличение площади содержания благоустроенных территорий общего пользования, приходящейся на 1 жителя города Курска до 1,42 кв.м. в  2019 г. </t>
  </si>
  <si>
    <t>Обеспечение пропускной способности дождевых и талых вод на ливневой канализации, в т.ч.  2019 г. - 5064 п.м.</t>
  </si>
  <si>
    <t>Ограничение возможности перехода улиц в неустановленных местах протяженностью  п.м дорожных ограждений, в т.ч. в 2019 г.- 717 п.м., 2020 г. - 46 п.м.</t>
  </si>
  <si>
    <t>Улучшение санитарно-эпидемиологической ситуации путем вакцинации и стерилизации животных без владельцев, 2020 - 2022 гг. по 590 голов ежегодно</t>
  </si>
  <si>
    <t>1.2.23</t>
  </si>
  <si>
    <t>Благоустройство территории по проспекту Победы (в районе дома 4) для установки памятника участковому</t>
  </si>
  <si>
    <t>Повышение уровня благоустройства общественных территорий</t>
  </si>
  <si>
    <t>2.1.8</t>
  </si>
  <si>
    <t>2.1.10.</t>
  </si>
  <si>
    <t>Разработка проекта рекультивации земельного участка, загрязненного химическими веществами, расположенного в кадастровом квартале 46:29:103 145 вблизи двухэтажных жилых домов: №1, №2, №3, №4, находящихся в пер. Центральный в районе ул. Голубиная (Сеймский округ г. Курска)</t>
  </si>
  <si>
    <t>Обеспечение чистоты и надлежащего санитарного состояния на дорогах и тротуарах площадью  3338 тыс. м2   в 2019 г.</t>
  </si>
  <si>
    <t>Улучшение  состояния 46 тыс.м2 дорожного полотна автомобильных дорог и  тротуаров в городе, в т.ч. 2019 г. - 46 тыс.м2</t>
  </si>
  <si>
    <t xml:space="preserve">Приведение колодцев и ливнеприемников в нормативное состояние, а также дорог в местах расположения колодцев и ливнеприемников, в 2019 - 2020 гг. - 190 шт., 2022 г. - 6шт.
</t>
  </si>
  <si>
    <t xml:space="preserve">Создание/реконструкция в 2023 г. 5 мест (площадок) накопления ТКО </t>
  </si>
  <si>
    <t>1.2.24</t>
  </si>
  <si>
    <t>Благоустройство мест захоронений на мемориальных комплексах</t>
  </si>
  <si>
    <t>Рекультивация 1 земельного участка по ул. Гунатовская, д. 32</t>
  </si>
  <si>
    <t>Снижение захламления  территории, находящейся в муниципальной собственности на 3 тыс. куб. м</t>
  </si>
  <si>
    <t xml:space="preserve">Создание удобств для граждан в ожидании транспорта в результате установки 10  остановочных павильонов </t>
  </si>
  <si>
    <t>1.1.6</t>
  </si>
  <si>
    <t>Обеспечение реализации мероприятий по модернизации коммунальной инфраструктуры</t>
  </si>
  <si>
    <t xml:space="preserve">2023 г. </t>
  </si>
  <si>
    <t>2024 г.</t>
  </si>
  <si>
    <t>2.3.6.</t>
  </si>
  <si>
    <t>Развитие экологического туризма</t>
  </si>
  <si>
    <t>Увеличение средней продолжительности пребывания туристов на территории города Курска</t>
  </si>
  <si>
    <t>изготовление и установка купола</t>
  </si>
  <si>
    <t>2019 - 2020 гг.,              2022 г.</t>
  </si>
  <si>
    <t>1.2.25</t>
  </si>
  <si>
    <t>Ремонт и содержание общественных туалетов, приобретение, установка (монтаж), ремонт, замена, обслуживание (содержание), демонтаж и доставка на место хранения биотуалетов в городе</t>
  </si>
  <si>
    <t>2020 - 2023 гг.</t>
  </si>
  <si>
    <t>Оформление территории города к проведению общегородских и праздничных мероприятий</t>
  </si>
  <si>
    <t>2022 - 2023 гг.</t>
  </si>
  <si>
    <t>Изготовление и установка купола в 2023 г. - 1 шт.</t>
  </si>
  <si>
    <t xml:space="preserve">
Комитет городского хозяйства города Курска 
Комитет архитектуры и градостроительства города Курска
</t>
  </si>
  <si>
    <t>Снос аварийных жилых домов и изготовление ПСД на снос</t>
  </si>
  <si>
    <t>Создание/реконструкция в 2020 - 2022 гг. по  30 мест (площадок) накопления ТКО ежегодно</t>
  </si>
  <si>
    <t>Комитет культуры города Курска       Комитет городского хозяйства города Курска</t>
  </si>
  <si>
    <t>Улучшение внешнего вида объектов благоустройства на территории города Курска (освещение) 2 объектов, в 2020 г. - 2021 гг. по 1 объекту ежегодно, в т. ч. новогодние светодиодные фигуры</t>
  </si>
  <si>
    <t>Повышение уровня экологических знаний и культуры населения города Курска. Ежегодное размещение на официальном сайте Администрации города Курска 4-х статей, посвященных минимизации экологического вреда, сохранение естественных экосистем и формированию экологического мировоззрения жителей города Курска</t>
  </si>
  <si>
    <t>Повышение уровня экологических знаний и культуры населения города Курска. Проведение не менее 6 занятий экологической направленности ежегодно в учебных заведениях различного уровня и в хозяйствующих субъектах, в том числе с привлечением СМИ</t>
  </si>
  <si>
    <t>Повышение уровня экологических знаний и культуры населения города Курска. Оказание содействия и проведение не менее 4-х общественных природоохранных мероприятий ежегодно</t>
  </si>
  <si>
    <t>Обеспечение ввода  в эксплуатацию объектов, незавершенных строительством</t>
  </si>
  <si>
    <t>Обеспечение реализации мероприятий по модернизации системы теплоснабжения в рамках концессионного соглашения</t>
  </si>
  <si>
    <t>капремонт, ремонт, содержание фонтанов и прочие работы</t>
  </si>
  <si>
    <t>Благоустройство территории на 
ул. Дзержинского, 64/2 (угол ул. Дзержинского - ул. Белинского)</t>
  </si>
  <si>
    <t xml:space="preserve">Организация капитального ремонта, ремонта муниципального жилищного фонда и разработка проектно-сметной документации на выполнение работ  по капитальному ремонту муниципальных жилых домов - всего, в том числе:  </t>
  </si>
  <si>
    <t>Выполнение функций по контролю за выполнением работ на объектах коммунального хозяйства, жилищного фонда и благоустройства города, составление и проверка смет, рассмотрение жалоб, контроль за использованием и сохранностью общего имущества муниципальных жилых домов, выдача ордеров на производство земляных работ</t>
  </si>
  <si>
    <t>Детская игровая площадка, расположенная по адресу: ул. Герцена, д. 2 в городе Курске. Благоустройство территории</t>
  </si>
  <si>
    <t>Благоустройство тренировочной трассы для легкой атлетики и лыжного спорта в урочище Цветов лес города Курска</t>
  </si>
  <si>
    <t>Организация работ по выполнению полномочий для решения вопросов местного значения в сфере жилищно-коммунального хозяйства</t>
  </si>
  <si>
    <t xml:space="preserve">Предотвращение нарушений исполнения  законодательства Российской Федерации, нормативно правовых актов Администрации города Курска, Правил благоустройства территории муниципального образования «город Курск» за счет:
составления 82 протоколов, 
выявления 5 несанкционированных мест   размещения отходов 
</t>
  </si>
  <si>
    <r>
      <t xml:space="preserve">Комитет городского хозяйства города Курска       Комитет образования города Курска Комитет молодежной политики, физической культуры и спорта города Курска     </t>
    </r>
    <r>
      <rPr>
        <sz val="14"/>
        <color rgb="FFFF0000"/>
        <rFont val="Times New Roman"/>
        <family val="1"/>
        <charset val="204"/>
      </rPr>
      <t xml:space="preserve">   </t>
    </r>
    <r>
      <rPr>
        <sz val="14"/>
        <color rgb="FF000000"/>
        <rFont val="Times New Roman"/>
        <family val="1"/>
        <charset val="204"/>
      </rPr>
      <t xml:space="preserve">  Управление информации и печати Администрации города Курска</t>
    </r>
  </si>
  <si>
    <t>федеральный бюджет</t>
  </si>
  <si>
    <t>средства населения, ЮЛ и ИП</t>
  </si>
  <si>
    <t>Участие в организации деятельности по сбору (в том числе раздельному), транспортированию, обработке, утилизации, обезвреживанию, захоронению твердых коммунальных отходов (ТКО), в т.ч. при ликвидации несанкционированных свалок на общественных территориях, включая их выявление (в том числе на территории городских лесов), развитие системы общественного контроля, средств дистанционного контроля</t>
  </si>
  <si>
    <t>Формирование развитой системы раздельного сбора и последующей переработки отходов.                                       Доля граждан, имеющих доступ к информации в сфере обращения с отходами: 2022 г. - 40%.                                                       Закупка 100 штук ежегодно</t>
  </si>
  <si>
    <t>Увеличение протяженности коммунальных сетей г. Курска в т.ч.: в 2023 г. - 1260 м., в 2024 г. - 930 м.</t>
  </si>
  <si>
    <t>Ремонт и содержание общественных туалетов в городе</t>
  </si>
  <si>
    <t>Проведение лесопоталогического обследования лесных участков, отвод и таксация лесосек</t>
  </si>
  <si>
    <t>Организация оказания услуг по ведению лесного хозяйства в Курском городском лесничестве Курской области на территории города Курска, включающих в себя: создание городских лесов и особо охраняемых природных территорий муниципального значения, технический ремонт лесной инфраструктуры и не связанных с созданием лесной инфраструктуры, организацию лесоустройству, поставка оборудования, средств пожаротушения, защитной амуниции для оперативной маневренной группы по содействию пожарным частям гарнизона в тушении лесных пожаров</t>
  </si>
  <si>
    <t>Функционирование 7 общественных туалетов в парках города. Создание удобств для граждан, при проведении массовых мероприятий в городе, в результате установки 20 биотуалетов</t>
  </si>
  <si>
    <t>Функционирование  3 общественных туалетов в парках города</t>
  </si>
  <si>
    <t>2.2.9</t>
  </si>
  <si>
    <t>Проведение инвентаризации озелененных территорий общего пользования и составление паспортов объектов</t>
  </si>
  <si>
    <t>Содержание мемориального комплекса "Курская Дуга"</t>
  </si>
  <si>
    <t xml:space="preserve">Освещенность улиц </t>
  </si>
  <si>
    <t>Благоустройство общественной территории, расположенной в районе домов № 51, 51 А, 51 Б по улице Союзная в городе Курске</t>
  </si>
  <si>
    <t xml:space="preserve">Организация работ по формированию крон, обрезке, санитарной рубке (сносу) и удалению старовозрастных, фаутных, малоценных, аварийных насаждений, корчевке пней, акарицидной обработке озелененных территорий общего пользования, покос и обработка озелененных территорий очагов распространения борщевика Сосновского, обработка древесно-кустарниковой растительности от американской белой бабочки </t>
  </si>
  <si>
    <t>квартир</t>
  </si>
  <si>
    <t>Организация работ по выполнению полномочий для решения вопросов местного значения в сфере муниципального контроля</t>
  </si>
  <si>
    <t>2022 г., 2024 г.</t>
  </si>
  <si>
    <t>Благоустройство территории на пересчечении ул. Ленина и ул. Кати Зеленко. Технологическое присоединение энергопринимающих устройств - 2024 год.</t>
  </si>
  <si>
    <t>капремонта, ремонта, очистки и промывки ливневой канализации, водоотводных каналов и трубопереездов</t>
  </si>
  <si>
    <t>Снижение захламления  территории, находящейся в муниципальной собственности на 1 тыс. куб.м , в т.ч. 2020 - 2022 гг. на 0,2 тыс. куб. м. ежегодно.                                                            Доля ликвидированных мест размещения отходов к общему количеству выявленных мест несанкционированного размещения отходов 2022 г. - 50%</t>
  </si>
  <si>
    <t>Администрация Сеймского  округа города Курска</t>
  </si>
  <si>
    <t>приобретение, установка (монтаж), ремонт,замена, обслуживание(содержание), демонтаж и доставка на место хранения  мусорных контейнеров и прочего инвентаря</t>
  </si>
  <si>
    <t>Комитет городского хозяйства города Курса</t>
  </si>
  <si>
    <t xml:space="preserve">Популяризация системы раздельного сбора мусора. Обустройство контейнерных площадок контейнерами для раздельного сбора твердых коммунальных отходов </t>
  </si>
  <si>
    <t>Формирование развитой системы раздельного сбора и последующей переработки отходов.                                     Доля граждан, имеющих доступ к информации в сфере обращения с отходами: 2023 г. - 50%</t>
  </si>
  <si>
    <t>Создание удобств для граждан, при проведении массовых мероприятий в городе, в результате установки 2022 г. -  10 биотуалетов, 20 мусорных контейнеров объемом 120 литров и прочего инвентаря; 2023 г. - 20 биотуалетов, 20 мусорных контейнеров объемом 120 литров и прочего инвентаря</t>
  </si>
  <si>
    <t>установка информационных стендов и табличек на территориях общего пользования</t>
  </si>
  <si>
    <t xml:space="preserve"> Комитет городского хозяйства города Курска             Комитет молодежной политики, физической культуры и спорта города Курска                Комитет внутренней политики Администрации города Курска</t>
  </si>
  <si>
    <t>Комитет культуры и туризма города Курска            Комитет городского хозяйства города Курска</t>
  </si>
  <si>
    <t>2.5.1</t>
  </si>
  <si>
    <t>2.5.2</t>
  </si>
  <si>
    <t>Благоустройство общественной территории с устройством детской и спортивной площадок, расположенной по адресу: г. Курск, ул. Республиканская,       50 Е и 50 Ж</t>
  </si>
  <si>
    <t>2.5.3</t>
  </si>
  <si>
    <t>Детская игровая площадка, расположенная по адресу:          ул. Герцена, д. 2 в городе Курске. Благоустройство территории</t>
  </si>
  <si>
    <t>2.5.4</t>
  </si>
  <si>
    <t>Администация Сеймского округа города Курска</t>
  </si>
  <si>
    <t>2.5.5</t>
  </si>
  <si>
    <t>Благоустройство территории спортивной, детской игровой площадки, расположенной по адресу: улица Дейнеки, д. 10 в городе Курске</t>
  </si>
  <si>
    <t>2.5.6</t>
  </si>
  <si>
    <t>Ремонт тротуара по улице 1-я Офицерская, переулок Пушкарный в городе Курске</t>
  </si>
  <si>
    <t>2.5.7</t>
  </si>
  <si>
    <t>2.5.8</t>
  </si>
  <si>
    <t>Благоустройство территории с размещением детской игровой и спортивной площадок в районе дома № 30 по улице Серегина города Курска</t>
  </si>
  <si>
    <t>2025 г.</t>
  </si>
  <si>
    <t>Благоустройство территории с размещением детской игровой и спортивной площадок в районе дома      № 30 по улице Серегина города Курска</t>
  </si>
  <si>
    <t>2.5.9</t>
  </si>
  <si>
    <t>Благоустройство сквера на земельном участке с кадастровым номером 46:29:103184:307 по ул. Сливовая в         г. Курске</t>
  </si>
  <si>
    <t>Благоустройство территории около Храма Благовещения Пресвятой Богородицы по адресу: г. Курск,              ул. Присеймская 125</t>
  </si>
  <si>
    <t>Лесопатологическое обследование лесных участков, отвод и таксация лесосек на территории урочища "Цветов лес" общей площадью 12,7498 га</t>
  </si>
  <si>
    <t>Благоустройство сквера на земельном участке с кадастровым номером 46:29:103184:307 по                             ул. Сливовая в г. Курске</t>
  </si>
  <si>
    <t>2.5.10</t>
  </si>
  <si>
    <t>Проведение 8 общегородских и праздничных мероприятий, повышение уровня благоустройства, эстетической привлекательности территории города</t>
  </si>
  <si>
    <t>2020 -2023 гг.</t>
  </si>
  <si>
    <t>Проведение инвентаризации зеленых насаждений на участках, планируемых к освоению</t>
  </si>
  <si>
    <t>2020 - 05.08.2024 гг.</t>
  </si>
  <si>
    <t>Предотвращение незаконного сноса зеленых насаждений за счет проведения инвентаризации в количестве  - 60 шт. – по 15 шт. ежегодно</t>
  </si>
  <si>
    <t>2.5.11</t>
  </si>
  <si>
    <t>2.5.12</t>
  </si>
  <si>
    <t>Повышение эффективности управления зелеными насаждениями в городе Курске и создание условий для их развития за счет оценки состояния существующих зеленых насаждений на 40 объектах, в т.ч.  по 5 объектов ежегодно</t>
  </si>
  <si>
    <t>2025 - 2027 гг.</t>
  </si>
  <si>
    <t>Улучшение внешнего вида объектов благоустройства на территории города Курска (освещение) 2 объектов,   2023 - 2024 гг. по 1 объекту ежегодно, в т. ч.  светодиодные фигуры, тканевые изделия, конструкции для проведения праздников.  Текущий ремонт поверхностей из тротуарной плитки, асфальтного покрытия</t>
  </si>
  <si>
    <t>Оформление территории города к проведению общегородских и праздничных мероприятий (приобретение, изготовление, установка (монтаж), ремонт, замена, обслуживание (содержание), демонтаж и доставка на место хранения элементов благоустройства (элементов праздничного оформления, тканевых изделий) на территории города Курска</t>
  </si>
  <si>
    <t>Сохранение защитных, оздоровительных и иных полезных функций городских лесов  за счет:очистки лесных участков от нежелательных древесно - кустарниковых насаждений и захламления на площади 20 га, в т.ч. по 5 га ежегодно</t>
  </si>
  <si>
    <t>Сохранение защитных, оздоровительных и иных полезных функций городских лесов за счет:                                                             - проведения (сплошных или выборочных) санитарных рубок, рубок аварийных деревьев и уборки неликвидной древесины (очистки от захламленности, зависших деревьев, валежника) на площади 400 га, в т.ч. по 100 га ежегодно;                                                             - ухода за минерализованными полосами на протяженности 5400 км, в т.ч. ежегодно 1350 км (3 раза по 450 км)</t>
  </si>
  <si>
    <t xml:space="preserve">Предотвращение нарушений исполнения  законодательства Российской Федерации, нормативно правовых актов Администрации города Курска, Правил благоустройства территории муниципального образования «город Курск» за счет: составления протоколов - 367 шт.  в т.ч. по годам:  
2020 г. – 85 шт.; 2021 г. – 90 шт.; 2022 г. – 95 шт.; 2023 г. – 97 шт.
- выявления  мест несанкционированного  размещения отходов - 20 шт. 
ежегодно по 5 шт. </t>
  </si>
  <si>
    <t xml:space="preserve">Благоустройство территории по 1-му Благодатному переулку в городе Курске. Спортивно-игровая площадка в рамках проекта "Народный бюджет" </t>
  </si>
  <si>
    <t xml:space="preserve">Благоустройство территории с размещением детской площадки на земельном участке по адресу: Курская область, город Курск, Майский бульвар (в районе дома № 16) </t>
  </si>
  <si>
    <t xml:space="preserve">Улучшение внешнего вида объектов благоустройства на территории города Курска (освещение) 1 объекта,   2022 г. -    1 объект, в т. ч.  светодиодные фигуры, тканевые изделия, конструкции для проведения праздников. Создание удобств для граждан в результате установки 50 скамеек. Улучшение внешнего вида 50 урн </t>
  </si>
  <si>
    <t xml:space="preserve">Предотвращение нарушений законодательства Российской Федерации путем проведения:  -плановых проверок, в т.ч. по годам:  2020 г. - 9 шт., 2021 г. - 15 шт.; 2022 - 2023 гг. - 0 шт. ежегодно.         </t>
  </si>
  <si>
    <t xml:space="preserve">Повышение уровня экологических знаний и культуры населения города Курска путем  привлечения к участию в мероприятиях экологической направленности 150 тыс. чел.
</t>
  </si>
  <si>
    <t>1.2.26</t>
  </si>
  <si>
    <t>1.2.27</t>
  </si>
  <si>
    <t>Благоустройство территорий, относящихся к скверам, паркам и иным общественным территориям</t>
  </si>
  <si>
    <t>Комитет городского хозяйства города Курска                        МКУ "УКС города Курска"</t>
  </si>
  <si>
    <t xml:space="preserve">Комитет городского хозяйства города Курска                  Комитет архитектуры и градостроительства города Курска
 МКУ "Городская инспекция по жилищно-коммунальному хозяйству и благоустройству" </t>
  </si>
  <si>
    <t>Задача № 2  Повышение уровня благоустройства городских территорий и создание условий для  содержания автомобильных дорог и искусственных сооружений   на них</t>
  </si>
  <si>
    <t>Цель № 1 Повышение устойчивости и надежности функционирования объектов жилищно-коммунальной сферы и благоустройства города Курска</t>
  </si>
  <si>
    <t>Задача № 1 Организация предоставления коммунальных услуг и функционирование  объектов коммунального назначения и коммунальной инженерной инфраструктуры</t>
  </si>
  <si>
    <t>Задача № 3  Улучшение состояния муниципального жилищного фонда</t>
  </si>
  <si>
    <t>Задача № 4 Осуществление полномочий органа местного самоуправления в сфере жилищно-коммунального хозяйства</t>
  </si>
  <si>
    <t>Задача № 5 Обеспечение информационной открытости в сфере жилищно-коммунального хозяйства</t>
  </si>
  <si>
    <t>Цель № 2 Улучшение благоприятной окружающей природной среды на территории города Курска</t>
  </si>
  <si>
    <t>Задача № 1 Снижение негативных воздействий на человека и окружающую природную среду</t>
  </si>
  <si>
    <t>Задача № 2 Сохранение и развитие зеленого фонда города</t>
  </si>
  <si>
    <t>Задача № 3 Повышение уровня экологического образования и просвещения населения города Курска</t>
  </si>
  <si>
    <t>Задача № 4 Осуществление полномочий  органа местного самоуправления в сфере охраны окружающей среды</t>
  </si>
  <si>
    <t>Задача № 5 Реализация проекта "Народный бюджет"</t>
  </si>
  <si>
    <t xml:space="preserve">     Итого  задача № 5</t>
  </si>
  <si>
    <t>Итого по цели № 2</t>
  </si>
  <si>
    <t>Итого  задача № 1</t>
  </si>
  <si>
    <t>Итого  задача № 2</t>
  </si>
  <si>
    <t>Итого  задача № 3</t>
  </si>
  <si>
    <t>Итого  задача № 4</t>
  </si>
  <si>
    <t>Итого  задача № 5</t>
  </si>
  <si>
    <t>Итого по цели № 1</t>
  </si>
  <si>
    <t>Благоустройство территории около Храма Благовещения Пресвятой Богородицы по адресу: г. Курск,                           ул. Присеймская, 125</t>
  </si>
  <si>
    <t>Площадь газонов и цветников, высаженных на территории парков, скверов, мемориала Памяти павших в годы Великой Отечественной войны, других памятных местах и зонах отдыха составит в 2019 г. - 3,15 га</t>
  </si>
  <si>
    <t xml:space="preserve">Повышение уровня исполнения требований законодательства Российской Федерации, Курской области в сфере экологии: количество приведенных в соответствие с законодательством Российской Федерации 2 нормативно-правовых актов </t>
  </si>
  <si>
    <t xml:space="preserve">Благоустройство детских игровых площадок, спортивных площадок, в том числе расположенных на сформированных земельных участках многоквартирных домов </t>
  </si>
  <si>
    <t>Благоустройство общественной территории с устройством детской и спортивной площадок, расположенной по адресу:           г. Курск, ул. Республиканская, 50 Е и 50 Ж</t>
  </si>
  <si>
    <t>2.5.13</t>
  </si>
  <si>
    <t xml:space="preserve">Детская игровая площадка по ул. Конорева д. 6 в городе Курске. Благоустройство территории </t>
  </si>
  <si>
    <t xml:space="preserve">2026 г. </t>
  </si>
  <si>
    <t>Благоустройство территории детской игровой площадки по ул. Конорева д. 6 в городе Курске</t>
  </si>
  <si>
    <t>2.5.14</t>
  </si>
  <si>
    <t>Благоустройство территории между улицами Проспект Ленинского Комсомола - Новогаражная в городе Курске</t>
  </si>
  <si>
    <t>2.5.15</t>
  </si>
  <si>
    <t>Благоустройство общественной территории в районе между МБОУ "СОШ № 48" и д. 15 по ул. Серегина</t>
  </si>
  <si>
    <t>Приобретение, технологическое присоединение к сетям, ремонт и содержание общественных туалетов; приобретение, установка (монтаж), ремонт, замена, обслуживание (содержание), демонтаж и доставка на место хранения биотуалетов в городе</t>
  </si>
  <si>
    <t>Организация работ по формированию крон, обрезке, санитарной рубке (сносу) и удалению старовозрастных, фаутных, малоценных, аварийных насаждений, корчевке пней, акарицидной обработке озелененных территорий общего пользования, покос и обработка озелененных территорий очагов распространения борщевика Сосновского и/или амброзии полыннолистной, обработка древесно-кустарниковой растительности от американской белой бабочки</t>
  </si>
  <si>
    <t>2019 - 2028 гг.</t>
  </si>
  <si>
    <t>2020 - 2024 гг.</t>
  </si>
  <si>
    <t>2021 - 2028 гг.</t>
  </si>
  <si>
    <t>Функционирование насосных станций ливневых вод:  2019 - 2020 гг. - 2 насосных станции; 2021 - 2028 гг. - 4 насосных станции</t>
  </si>
  <si>
    <t xml:space="preserve">Функционирования  объектов "Вечного огня" в 2019 - 2020 гг. - 4 объекта ежегодно, 2021 - 2028 гг. - 3 объекта ежегодно </t>
  </si>
  <si>
    <t>Площадь оплачиваемых  помещений в 2019 - 2020 гг. по  500 м2  ежегодно; в 2021 - 2022 гг. по  233,2 м2 ежегодно, в 2023 - 2028 гг. по 670,6 м2 ежегодно</t>
  </si>
  <si>
    <t>2020 - 2028 гг.</t>
  </si>
  <si>
    <t>2025 - 2028 гг.</t>
  </si>
  <si>
    <t>Функционирование в течение купального сезона  2019 - 2023 гг. - 6 пляжей, 2024 - 2028 гг. - 8 пляжей в г. Курске</t>
  </si>
  <si>
    <t>2026 - 2028 гг.</t>
  </si>
  <si>
    <t>06.08.2024 - 2028 гг.</t>
  </si>
  <si>
    <t>2023 - 2028 гг.</t>
  </si>
  <si>
    <t>Обеспечение чистоты на общественных территориях Сеймского округа         2023 г. - 68357 м2; 2024 г. - 95700 м2; 2025 г. - 93000 м2; 2026 г. - 70000 м2; 2027 - 2028 гг. - по 90000 м2 ежегодно</t>
  </si>
  <si>
    <t>Улучшение санитарно-эпидемиологической ситуации путем вакцинации и стерилизации животных без владельцев 2023 г. - 727 голов, 2024 г. - 720 голов; 2025 г. - 700 голов; 2026 г. - 680 голов, 2027 г. - 670 голов, 2028 г. - 720 голов</t>
  </si>
  <si>
    <t>2024 - 2028 гг.</t>
  </si>
  <si>
    <t>Количество сотрудников,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владельцев:                                                    Сеймский округ - 2023 - 2028  гг. - 1 человек ежегодно</t>
  </si>
  <si>
    <t>Демонтаж нестационарных торговых объектов  в 2023 г. - 30 ед., 2024 г. - 10 ед., 2025 г. - 11 ед., 2026 г. - 20 ед., 2027 г. - 10 ед., 2028 г. - 10 ед.</t>
  </si>
  <si>
    <t>Ожидаемый результат 2023 г.- 7,9 км; 2024 г. - 6,5 км; 2025 г. - 6,5 км; 2026 г. - 6,5 км; 2027 г. - 6,5 км; 2028 г. - 6,5 км</t>
  </si>
  <si>
    <t>2.5.16</t>
  </si>
  <si>
    <t>Благоустройство территории с размещением детской игровой и спортивной площадок в районе дома № 50 по проспекту Дружбы города Курска</t>
  </si>
  <si>
    <t>Улучшение санитарно-эпидемиологической ситуации путем вакцинации и стерилизации животных без владельцев 2023 г. - 614 голов, 2024 - 2028 гг. - по 560 голов ежегодно</t>
  </si>
  <si>
    <t>Обеспечение чистоты на общественных территориях Центрального  округа   2023 - 2028 гг. - по 9000 м2 ежегодно</t>
  </si>
  <si>
    <t>Обеспечение чистоты на общественных территориях Железнодорожного округа 2023 г. - 61360 м2; 2024 г. - 61360 м2; 2025 г. - 87657 м2; 2026 - 2028 гг. - по 113954 м2 ежегодно</t>
  </si>
  <si>
    <t>Улучшение санитарно-эпидемиологической ситуации путем вакцинации и стерилизации животных без владельцев 2023 - 2024 гг. по 480 голов ежегодно; 2025 г. - 460 голов; 2026 г. - 420 голов ежегодно; 2027 - 2028 гг. - 400 голов ежегодно</t>
  </si>
  <si>
    <t>Снижение захламления территории, находящейся в муниципальной собственности 2023 г. - 100 куб. м;   2024 г. - 100 куб. м; 2025 г. - 268 куб. м; 2026 - 2028 гг. - 290 куб. м ежегодно</t>
  </si>
  <si>
    <t>Снижение риска  подтоплений частных домовладений, находящихся вблизи рек в городе Курске.                                        Выполнение работ по противопаводковым мероприятиям и расчистка водоотводных каналов от мусора и древесной растительности на территории административного округа   2023 г. - 250 куб. м; 2024 г. - 170 куб. м; 2025 г. - 245 куб. м; 2026 - 2028 гг.- 282 куб. м ежегодно</t>
  </si>
  <si>
    <t>Благоустройство территорий, относящихся к скверам, паркам и иным общественным территориям: 2025 г. - 1 шт., в том числе осуществление технологического присоединения и подготовка технической документации</t>
  </si>
  <si>
    <t>2019 - 2020 гг., 2022 - 2028 гг.</t>
  </si>
  <si>
    <t>2019 г.,                         2021 - 2028 гг.</t>
  </si>
  <si>
    <t xml:space="preserve">Обеспечение функционирования  фонтанов, в т.ч.  2019 г. - 2 фонтана, 2021 - 2023 гг. - 3 фонтана ежегодно, 2024 - 2028 гг. - 4 фонтана ежегодно  </t>
  </si>
  <si>
    <t>Улучшение внешнего вида 2020 - 2024 гг. - 70 скамеек ежегодно; 2025 - 2028 гг. - 40 скамеек ежегодно</t>
  </si>
  <si>
    <t xml:space="preserve">2020 - 2028 гг.               </t>
  </si>
  <si>
    <t>Улучшение внешнего вида: 2020 - 2022 гг. - по 150 урн ежегодно, 2023 г. - 80 шт., 2024 г. - 80 шт., 2025 г. - 30 шт., 2026 - 2028 гг. - по 40 шт. ежегодно</t>
  </si>
  <si>
    <t xml:space="preserve">Создание удобств для граждан, при проведении массовых мероприятий в городе, в результате установки  2024 - 2028 гг. - 8 мусорных контейнеров объемом 120 литров и прочего инвентаря </t>
  </si>
  <si>
    <t>Установка на территориях общего пользования в 2023 г. - 3 стендов, 2024 г.- 6 табличек и стендов, 2025 - 2028 гг. - по 1 стенду ежегодно</t>
  </si>
  <si>
    <t xml:space="preserve">2024 - 2025 гг. </t>
  </si>
  <si>
    <t xml:space="preserve"> Поддержание санитарного состояния и порядка 2019 - 2023 гг. на 9 кладбищах, 2024 - 2028 гг. на 10 кладбищах ежегодно</t>
  </si>
  <si>
    <t>Улучшение внешнего вида территорий 2019 - 2023 гг. - 2 кладбищ ежегодно, 2024 - 2028 гг. - 1 кладбище ежегодно</t>
  </si>
  <si>
    <t>2019 г.,                          2023 - 2028 гг.</t>
  </si>
  <si>
    <t>Повышение уровня исполнения требований законодательства Российской Федерации, Курской области в сфере экологии: количество приведенных в соответствие с законодательством Российской Федерации нормативно-правовых актов 18 шт. - по 2 шт. ежегодно</t>
  </si>
  <si>
    <t>Протяженность отремонтированных сетей уличного освещения 40000 п.м.,                                         в т.ч. в 2019 - 2028 гг. - по  4000 п.м. ежегодно</t>
  </si>
  <si>
    <t xml:space="preserve">Получение информации о состоянии 180 объектов жилищного фонда в т.ч. в 2019 г. - 136 ед., 2020 г. - 5 ед., 2021 г. - 4 ед., 2022 - 2028 гг. - по 5 ед. ежегодно  
</t>
  </si>
  <si>
    <t>Ликвидация 29 аварийных домов, в т.ч. в 2020 г. - 7 шт., в 2021 - 2022 гг. по 5 домов ежегодно, 2023 - 2028 гг. - по 2 дома ежегодно</t>
  </si>
  <si>
    <t>Функционирование 8 общественных туалетов в городе. Создание удобств для граждан, при проведении массовых мероприятий в городе, в результате установки 10 биотуалетов. Приобретение и технологическое присоединение к сетям по 1 туалету ежегодно</t>
  </si>
  <si>
    <t>2024 - 2026 гг.</t>
  </si>
  <si>
    <t>Создание удобств для граждан  в результате установки  144 скамеек: 2020 - 2022 гг. ежегодно  по 30 шт., 2023 г. - 7 скамеек, 2024 г. - 7 скамеек, 2025 - 2028 гг. - по 10 скамеек ежегодно</t>
  </si>
  <si>
    <t>Улучшение внешнего вида объектов благоустройства на территории города Курска (освещение) 4 объектов,   2025 - 2028 гг. по 1 объекту ежегодно.  Текущий ремонт поверхностей из тротуарной плитки, асфальтного покрытия</t>
  </si>
  <si>
    <t>Снижение риска  подтоплений частных домовладений, находящихся вблизи рек в городе Курске. Проведение работ по откачке воды с территории частных домовладений по заявкам жителей 2023 г. - 792 куб. м; 2024 г. - 800 куб. м; 2026 - 2028 гг. - по 750 куб. м. ежегодно. Очистка каналов с заросшими откосами с наличием корней и отдельных включений (ил, грязь, мусор) 2023 г. - 719 куб. м; 2024 г. - 1500 куб. м; 2025 г. - 1450 куб. м; 2026 - 2028 гг. - 1400 куб. м ежегодно</t>
  </si>
  <si>
    <t xml:space="preserve">Снижение риска  подтоплений частных домовладений, находящихся вблизи рек в городе Курске.                                        Проведение работ по откачке сточных вод на территории административного округа 2023 - 2024 гг., 2026 - 2028 гг. -  по 234 куб. м ежегодно; водоотводного канала протяженностью 300 м </t>
  </si>
  <si>
    <t>Обеспечение пропускной способности дождевых и талых вод на ливневой канализации, в т.ч.  2024 г. - 8 п.м., 2025 г. - 8 п.м., 2026 г. - 8 п.м.</t>
  </si>
  <si>
    <t xml:space="preserve">Создание/реконструкция в 2023г. - 30 мест (площадок), в 2024 - 2028 гг. - 5 мест (площадок) накопления ТКО </t>
  </si>
  <si>
    <t>Формирование развитой системы раздельного сбора и последующей переработки отходов. Доля граждан, имеющих доступ к информации в сфере обращения с отходами: 2024 г. - 60%; 2025 г. - 65%; 2026 г. - 70%; 2027 г. - 80%; 2028 г. - 85%</t>
  </si>
  <si>
    <t>Благоустройство мест захоронений на мемориальных комплексах 2023 г. - 1 место, 2024 г. - 1 место, 2025 г. - 1 место, 2026 г. - 1 место, 2027 г. - 1 место, 2028 г. - 1 место</t>
  </si>
  <si>
    <t>Благоустройство детских игровых площадок, спортивных площадок: 2025 - 2026 гг. - по 33 шт., 2027 г. - 34 шт.</t>
  </si>
  <si>
    <t>2019 - 2024 гг., 2026 - 2027 гг.</t>
  </si>
  <si>
    <r>
      <t>Ввод в эксплуатацию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8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незавершенных строительством объектов, в т.ч. в 2019 - 2024 гг., 2026 - 2027 гг. - по 1 объекту ежегодно</t>
    </r>
  </si>
  <si>
    <r>
      <t xml:space="preserve">Улучшение жилищных условий граждан в 67 квартирах  в 2019 г. - 18 ед.,  в 2020 г. - 10 ед., в 2021 г. - 7 ед., в 2022 г. - 10 ед., в 2023 - 4 ед., 2024 г. - 6 ед., 2025 - 2028 гг. - </t>
    </r>
    <r>
      <rPr>
        <sz val="14"/>
        <color rgb="FFFF0000"/>
        <rFont val="Times New Roman"/>
        <family val="1"/>
        <charset val="204"/>
      </rPr>
      <t>3</t>
    </r>
    <r>
      <rPr>
        <sz val="14"/>
        <rFont val="Times New Roman"/>
        <family val="1"/>
        <charset val="204"/>
      </rPr>
      <t xml:space="preserve"> ед. (по потребности)           
</t>
    </r>
  </si>
  <si>
    <t xml:space="preserve">Обеспечение проведения ремонтных работ в результате изготовления 54 комплектов проектно-сметной документации, 2019-2020 гг. ежегодно по 10 комплектов, 2022 г. - 10 комплектов, 2023 - 2028 гг. по 4 комплекта ежегодно </t>
  </si>
  <si>
    <t>2020 г.,                                        2022 - 2023 гг., 2026 - 2028 гг.</t>
  </si>
  <si>
    <t>Сохранение водных объектов путем расчистки береговых зон протяженностью 6,0 км, в т.ч. по 0,6 км ежегодно</t>
  </si>
  <si>
    <t>Снижение захламления территории, находящейся в муниципальной собственности 2023 г. - 34 000 куб. м.;   2024 - 2028 гг. - 2 300 куб. м ежегодно</t>
  </si>
  <si>
    <t>Снижение захламления территорий, находящейся в муниципальной собственности 2023 - 2028 гг. - по 480 куб. м ежегодно</t>
  </si>
  <si>
    <t>2026 г.</t>
  </si>
  <si>
    <t>2020 - 2025 гг.</t>
  </si>
  <si>
    <t>Оздоровление существующих зеленых насаждений  за счет: удаления (сноса) аварийных, больных, малоценных насаждений объемом 9,5 тыс. куб. м (4,75 тыс. шт.), 2020 г. - 2 тыс. куб. (1 тыс. шт.), 2021 г. - 2 тыс. куб. (1 тыс. шт.), 2022 г. - 2 тыс. куб. (1 тыс. шт.), 2023 г. - 1 тыс. куб. (0,5 тыс. шт.), 2024 г. - 1 тыс. куб. (0,5 тыс. шт.); 2025 г. - 1,5 тыс. куб. (0,75 тыс. шт.); обрезки деревьев - 4,8 тыс. шт., в 2020 г. - 0,6 тыс. шт., в 2021 г. - 0,6 тыс. шт., в 2022 г. - 0,6 тыс. шт., в 2023 г. - 1,3 тыс. шт., в 2024 г. - 1,3 тыс. шт., 2025 г. - 0,4 тыс. шт.; корчевка пней - 620 шт., в т.ч. по годам: 2020 г. - 150 шт., 2021 г. - 200 шт., 2022 г. - 100 шт., 2023 г. - 105 шт., 2024 г. - 50 шт., 2025 г. - 15 шт.</t>
  </si>
  <si>
    <t>Оздоровление существующих зеленых насаждений  за счет:удаления (сноса) аварийных, больных, малоценных насаждений объемом 6,0 тыс. куб. м (3,2 тыс. шт.), 2026 г. - 2 тыс. куб. (1 тыс. шт.); 2027 г. - 2 тыс. куб. (1,1 тыс.шт.), 2028 г. - 2 тыс. куб. (1,1 тыс. шт.); обрезки деревьев - 2,74 тыс. шт., в  2026 г. - 0,9 тыс. шт.; 2027 г. - 0,92 тыс.шт.; 2028 г. - 0,92 тыс.шт.; корчевка пней - 120 шт., в т.ч. по годам: 2026 г. - 30 шт., 2027 г. - 45 шт., 2028 г. - 45 шт.</t>
  </si>
  <si>
    <t>Озеленение  территории города за счет:               - древесно-кустарниковых насаждений  высаженных в количестве 21,9 тыс. шт. (2020 г. - 3 тыс. шт., 2021 г. - 3 тыс. шт., 2022 г. - 2 тыс. шт., 2023 г. - 3 тыс. шт., 2024 г. - 3 тыс. шт., 2025 г. - 1,5 тыс. шт., 2026 г. - 2 тыс. шт., 2027 г. - 2,2 тыс.шт., 2028 г. - 2,2 тыс.шт.); - газонов и цветников, высаженных по улицам города на площади 6,75 га в  2020 - 2028 гг. по 0,75 га ежегодно</t>
  </si>
  <si>
    <t>Увеличение площади содержания благоустроенных территорий общего пользования, приходящейся на 1 жителя города Курска до 2,4 кв. м., в т.ч. по годам: 
2020 г. - 1,45 кв. м.,
2021 г. - 1,52 кв. м.,
2022 г. - 1,93 кв. м.,
2023 г. - 1,94 кв. м.,
2024 г. до 2,0 кв. м.,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г. - 2,1 кв. м.,                                                                                                                                                                                                                                                                                                                                                                                                                                                                                                                  2026 г. - 2,2 кв. м.,                                                                                                                                                                                                                                                                                                                                                                                                                                                                                                                   2027 г. - 2,3 кв.м.,                                                                                                                                                                                                                                                                                                                                                                                                                                                                                                                   2028 г. - 2,4 кв. м.
Площадь газонов и цветников, высаженных на территории парков, скверов, мемориального комплекса "Памяти павших в годы Великой Отечественной войны 1941-1945 годов", других памятных местах и зонах отдыха составит 3,7 га, в т.ч. 2020 - 2026 гг. - по 0,5 га ежегодно, 2027 - 2028 гг. - 0,1 га</t>
  </si>
  <si>
    <t>Организация оказания услуг по ведению лесного хозяйства в Курском городском лесничестве Курской области на территории города Курска, включающих в себя: создание городских лесов и особо охраняемых природных территорий муниципального значения, технический ремонт лесной инфраструктуры и не связанных с созданием лесной инфраструктуры, организацию лесоустройства, поставка оборудования, средств пожаротушения, защитной амуниции для оперативной маневренной группы по содействию пожарным частям гарнизона в тушении лесных пожаров. Подготовка базы данных: актуальных и достоверных сведений о лесах и лесных ресурсах, об их местоположении, состоянии, количественных и качественных характеристиках, используемых в качестве информационной основы</t>
  </si>
  <si>
    <t>Организация оказания услуг по ведению лесного хозяйства в Курском городском лесничестве Курской области на территории города Курска, включающих в себя: создание городских лесов и особо охраняемых природных территорий муниципального значения, технический ремонт лесной инфраструктуры и не связанных с созданием лесной инфраструктуры, организацию лесоустройства, поставка оборудования, средств пожаротушения, защитной амуниции для оперативной маневренной группы по содействию пожарным частям гарнизона в тушении лесных пожаров</t>
  </si>
  <si>
    <t>2020 - 2024 гг., 2026 - 2028 гг.</t>
  </si>
  <si>
    <t>2022 - 2028 гг.</t>
  </si>
  <si>
    <t>Повышение эффективности управления зелеными насаждениями в городе Курске и создание условий для их развития за счет своевременного мониторинга и оценки состояния существующих зеленых насаждений на 56 объектах, в т.ч. 15 объектов в 2022 году, 18 объектов в 2023 году, 19 объектов в 2024 году, 1 объект в 2025 году, 1 объект в 2026 году,  1 объект в 2027 году, 1 объект в 2028 году</t>
  </si>
  <si>
    <t xml:space="preserve">Развитие системы внутриквартального озеленения и озеленения пешеход¬ных зон, улиц, технических зон, инженерных коммуникаций, сохранение и создание новых озелененных территорий общего пользования (бульваров, скверов),  
Ежегодная посадка зеленых насаждений в количестве не менее 100 саженцев 2022 - 2028 гг.
</t>
  </si>
  <si>
    <t>Проведение ежегодных субботников по посадке зеленых насаждений в количестве не менее 200 саженцев 2023 - 2026 гг., не менее 175 саженцев 2027 - 2028 гг. Сохранение и увеличение "зеленого фонда" города</t>
  </si>
  <si>
    <t>2026 гг.</t>
  </si>
  <si>
    <t>Оценка текущего состояния, сохранности и правильности содержания зеленых насаждений и всех конструктивных элементов для получения достоверных объемов работ по уходу за зелеными насаждениями и по содержанию всех конструктивных элементов. В 2026 году планируется проведение инвентаризации озелененных территорий Центрального, Сеймского и Железнодорожного округов города Курска</t>
  </si>
  <si>
    <t>Повышение уровня экологических знаний и культуры населения города Курска путем  привлечения к участию в мероприятиях экологической направленности 1350 тыс. чел. – по 150 тыс. чел. ежегодно</t>
  </si>
  <si>
    <t>Повышение уровня рационального использования лесных ресурсов путем выдачи экспертных заключений   - 45 шт. - по 5 шт. ежегодно</t>
  </si>
  <si>
    <t>Предотвращение незаконного сноса зеленых насаждений за счет проведения инвентаризации в количестве  - 75 шт. – по 15 шт. ежегодно</t>
  </si>
  <si>
    <t xml:space="preserve">Предотвращение нарушений исполнения законодательства Российской Федерации, нормативно правовых актов Администрации города Курска, Правил благоустройства территорий муниципального образования "городской округ город Курск" за счет: составления протоколов - 500 шт. в т. ч. по годам: 2024 - 2028 гг. по 100 шт. ежегодно - выявления  мест несанкционированного  размещения отходов - 25 шт. ежегодно по 5 шт. </t>
  </si>
  <si>
    <t>Предотвращение незаконного сноса (обрезки, пересадки) зеленых насаждений, а также изъятие газонов в границах городской черты путем выдачи разрешений  на снос (обрезку, пересадку) зеленых насаждений 6,5 тыс. шт.: 2020 - 2024 гг. по 0,5 тыс. шт. ежегодно, 2025 - 2028 гг. по 1 тыс. шт. ежегодно</t>
  </si>
  <si>
    <t>Демонтаж самовольно установленных временных сооружений:                                 2024 г.- 1 ед., 2025 г. - 17 ед., 2026 г. - 10 ед., 2027 г. - 80 ед., 2028 г. - 81 ед.</t>
  </si>
  <si>
    <t xml:space="preserve">Снижение захламления  территории, находящейся в муниципальной собственности на 1,2 тыс. куб.м , в т.ч. 2023 - 2028 гг. на 0,2 тыс. куб. м. ежегодно.                                                    Доля ликвидированных мест несанкционированного размещения отходов к общему количеству выявленных мест несанкционированного размещения отходов 2023 г. - 55%; 2024 г. - 60%; 2025 г. - 65%; 2026 г. - 70%; 2027 г. - 75%; 2028 г. - 80%
</t>
  </si>
  <si>
    <t xml:space="preserve">Разработка  паспортов отходов:                      Сеймский округ: 2023 - 2024- по 7 паспортов ежегодно; 2025 - 2028 гг. - по 6 паспортов ежегодно;                             Центральный округ: 2023 г. - 0 паспортов;                                   Железнодорожный округ: 2023 - 2028 гг. -  по 1 паспорту ежегодно </t>
  </si>
  <si>
    <t>Сохранение защитных, оздоровительных и иных полезных функций городских лесов за счет:                                                             - проведения  лесопатологических обследований (обследование аварийных деревьев) 100 га в год; 
- проведения (сплошных или выборочных) санитарных рубок, рубок аварийных деревьев и уборки неликвидной древесины (очистки от захламленности, зависших деревьев, валежника) на площади 400 га, в том числе по 100 га ежегодно;
- ухода за минерализованными полосами на протяженности 3348 км, в том числе ежегодно 837 км (3 раза по 279 км);
- посадки лесных культур 1 га/год;
- ухода за лесными культурами 5 га/год (3 раза в год).
 Противопожарные мероприятия: 
- расчистка дорог (противопожарных проездов, ремонт и установка аншлагов и шлагбаумов);
- расчистка и обустройство квартальных просек</t>
  </si>
  <si>
    <t>Повышение личного вклада граждан в создание эстетически привлекательных и экологически здоровых мест на территории города за счет проведения  экологических конкурсов в количестве 18 шт. - по 2 конкурса ежегодно.
и привлечения   участников в конкурсах 2320 человек, в т.ч.: 2020 г. по 150 чел.; 2021 г. - 200 чел.; 2022 г. - 220 чел.; 2023 г. - 250 чел.; 2024 - 2028 гг. - 300 чел. ежегодно</t>
  </si>
  <si>
    <r>
      <t xml:space="preserve"> </t>
    </r>
    <r>
      <rPr>
        <sz val="14"/>
        <rFont val="Times New Roman"/>
        <family val="1"/>
        <charset val="204"/>
      </rPr>
      <t xml:space="preserve"> ПРИЛОЖЕНИЕ 5</t>
    </r>
    <r>
      <rPr>
        <sz val="18"/>
        <rFont val="Times New Roman"/>
        <family val="1"/>
        <charset val="204"/>
      </rPr>
      <t xml:space="preserve">
 </t>
    </r>
    <r>
      <rPr>
        <sz val="14"/>
        <rFont val="Times New Roman"/>
        <family val="1"/>
        <charset val="204"/>
      </rPr>
      <t xml:space="preserve"> к  постановлению</t>
    </r>
    <r>
      <rPr>
        <sz val="1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Администрации города Курска </t>
    </r>
    <r>
      <rPr>
        <sz val="18"/>
        <rFont val="Times New Roman"/>
        <family val="1"/>
        <charset val="204"/>
      </rPr>
      <t xml:space="preserve">                                          </t>
    </r>
    <r>
      <rPr>
        <sz val="14"/>
        <rFont val="Times New Roman"/>
        <family val="1"/>
        <charset val="204"/>
      </rPr>
      <t xml:space="preserve">                           от   «02» февраля  2026 года                                                                                               № 47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</si>
</sst>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00000"/>
    <numFmt numFmtId="166" formatCode="#,##0.000000"/>
    <numFmt numFmtId="167" formatCode="0.00000"/>
    <numFmt numFmtId="168" formatCode="0.0"/>
    <numFmt numFmtId="169" formatCode="#,##0.0000000"/>
  </numFmts>
  <fonts count="16" x14ac:knownFonts="1"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Calibri"/>
      <family val="2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000000"/>
      <name val="Calibri"/>
      <family val="2"/>
      <charset val="1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8" fillId="0" borderId="0" xfId="0" applyFont="1"/>
    <xf numFmtId="0" fontId="8" fillId="2" borderId="0" xfId="0" applyFont="1" applyFill="1"/>
    <xf numFmtId="165" fontId="4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Alignment="1">
      <alignment horizontal="center" wrapText="1"/>
    </xf>
    <xf numFmtId="0" fontId="6" fillId="2" borderId="0" xfId="0" applyFont="1" applyFill="1"/>
    <xf numFmtId="165" fontId="6" fillId="2" borderId="0" xfId="0" applyNumberFormat="1" applyFont="1" applyFill="1"/>
    <xf numFmtId="167" fontId="6" fillId="2" borderId="0" xfId="0" applyNumberFormat="1" applyFont="1" applyFill="1"/>
    <xf numFmtId="166" fontId="6" fillId="2" borderId="0" xfId="0" applyNumberFormat="1" applyFont="1" applyFill="1"/>
    <xf numFmtId="169" fontId="6" fillId="2" borderId="0" xfId="0" applyNumberFormat="1" applyFont="1" applyFill="1"/>
    <xf numFmtId="166" fontId="5" fillId="2" borderId="0" xfId="0" applyNumberFormat="1" applyFont="1" applyFill="1"/>
    <xf numFmtId="0" fontId="2" fillId="2" borderId="1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/>
    <xf numFmtId="164" fontId="6" fillId="2" borderId="1" xfId="0" applyNumberFormat="1" applyFont="1" applyFill="1" applyBorder="1"/>
    <xf numFmtId="0" fontId="10" fillId="2" borderId="0" xfId="0" applyFont="1" applyFill="1" applyAlignment="1">
      <alignment horizontal="center" vertical="center" wrapText="1"/>
    </xf>
    <xf numFmtId="164" fontId="5" fillId="2" borderId="0" xfId="0" applyNumberFormat="1" applyFont="1" applyFill="1"/>
    <xf numFmtId="164" fontId="9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top"/>
    </xf>
    <xf numFmtId="168" fontId="2" fillId="0" borderId="1" xfId="0" applyNumberFormat="1" applyFont="1" applyBorder="1" applyAlignment="1">
      <alignment horizontal="center" vertical="top"/>
    </xf>
    <xf numFmtId="0" fontId="5" fillId="0" borderId="1" xfId="0" applyFont="1" applyBorder="1"/>
    <xf numFmtId="168" fontId="5" fillId="0" borderId="1" xfId="0" applyNumberFormat="1" applyFont="1" applyBorder="1"/>
    <xf numFmtId="0" fontId="5" fillId="0" borderId="0" xfId="0" applyFont="1"/>
    <xf numFmtId="0" fontId="6" fillId="0" borderId="1" xfId="0" applyFont="1" applyBorder="1"/>
    <xf numFmtId="168" fontId="6" fillId="0" borderId="1" xfId="0" applyNumberFormat="1" applyFont="1" applyBorder="1"/>
    <xf numFmtId="4" fontId="6" fillId="0" borderId="1" xfId="0" applyNumberFormat="1" applyFont="1" applyBorder="1"/>
    <xf numFmtId="164" fontId="6" fillId="0" borderId="1" xfId="0" applyNumberFormat="1" applyFont="1" applyBorder="1"/>
    <xf numFmtId="164" fontId="13" fillId="0" borderId="1" xfId="0" applyNumberFormat="1" applyFont="1" applyBorder="1"/>
    <xf numFmtId="165" fontId="6" fillId="0" borderId="0" xfId="0" applyNumberFormat="1" applyFont="1"/>
    <xf numFmtId="0" fontId="6" fillId="0" borderId="0" xfId="0" applyFont="1"/>
    <xf numFmtId="164" fontId="7" fillId="0" borderId="1" xfId="0" applyNumberFormat="1" applyFont="1" applyBorder="1"/>
    <xf numFmtId="164" fontId="12" fillId="0" borderId="1" xfId="0" applyNumberFormat="1" applyFont="1" applyBorder="1"/>
    <xf numFmtId="164" fontId="6" fillId="0" borderId="0" xfId="0" applyNumberFormat="1" applyFont="1"/>
    <xf numFmtId="4" fontId="0" fillId="2" borderId="0" xfId="0" applyNumberFormat="1" applyFill="1"/>
    <xf numFmtId="164" fontId="0" fillId="2" borderId="0" xfId="0" applyNumberFormat="1" applyFill="1"/>
    <xf numFmtId="164" fontId="9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2" fillId="0" borderId="0" xfId="0" applyNumberFormat="1" applyFont="1"/>
    <xf numFmtId="164" fontId="3" fillId="2" borderId="0" xfId="0" applyNumberFormat="1" applyFont="1" applyFill="1" applyAlignment="1">
      <alignment horizontal="center" wrapText="1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/>
    <xf numFmtId="164" fontId="6" fillId="2" borderId="0" xfId="0" applyNumberFormat="1" applyFont="1" applyFill="1"/>
    <xf numFmtId="168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/>
    <xf numFmtId="0" fontId="2" fillId="2" borderId="1" xfId="0" applyFont="1" applyFill="1" applyBorder="1"/>
    <xf numFmtId="164" fontId="1" fillId="0" borderId="1" xfId="0" applyNumberFormat="1" applyFont="1" applyBorder="1"/>
    <xf numFmtId="165" fontId="2" fillId="0" borderId="1" xfId="0" applyNumberFormat="1" applyFont="1" applyBorder="1"/>
    <xf numFmtId="164" fontId="2" fillId="0" borderId="1" xfId="0" applyNumberFormat="1" applyFont="1" applyBorder="1"/>
    <xf numFmtId="168" fontId="2" fillId="0" borderId="1" xfId="0" applyNumberFormat="1" applyFont="1" applyBorder="1"/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vertical="top"/>
    </xf>
    <xf numFmtId="2" fontId="1" fillId="0" borderId="1" xfId="0" applyNumberFormat="1" applyFont="1" applyBorder="1"/>
    <xf numFmtId="0" fontId="2" fillId="0" borderId="1" xfId="0" applyFont="1" applyBorder="1" applyAlignment="1">
      <alignment horizontal="left" vertical="top"/>
    </xf>
    <xf numFmtId="164" fontId="1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2" fontId="0" fillId="2" borderId="0" xfId="0" applyNumberFormat="1" applyFill="1"/>
    <xf numFmtId="164" fontId="1" fillId="0" borderId="0" xfId="0" applyNumberFormat="1" applyFont="1" applyAlignment="1">
      <alignment horizontal="center" vertical="center"/>
    </xf>
    <xf numFmtId="168" fontId="5" fillId="0" borderId="0" xfId="0" applyNumberFormat="1" applyFont="1"/>
    <xf numFmtId="164" fontId="13" fillId="0" borderId="0" xfId="0" applyNumberFormat="1" applyFont="1"/>
    <xf numFmtId="164" fontId="12" fillId="0" borderId="0" xfId="0" applyNumberFormat="1" applyFont="1"/>
    <xf numFmtId="164" fontId="7" fillId="0" borderId="0" xfId="0" applyNumberFormat="1" applyFont="1"/>
    <xf numFmtId="4" fontId="2" fillId="0" borderId="1" xfId="0" applyNumberFormat="1" applyFont="1" applyBorder="1"/>
    <xf numFmtId="2" fontId="2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center" wrapText="1"/>
    </xf>
    <xf numFmtId="168" fontId="0" fillId="2" borderId="0" xfId="0" applyNumberFormat="1" applyFill="1"/>
    <xf numFmtId="4" fontId="2" fillId="0" borderId="1" xfId="0" applyNumberFormat="1" applyFont="1" applyBorder="1" applyAlignment="1">
      <alignment vertical="center"/>
    </xf>
    <xf numFmtId="4" fontId="0" fillId="3" borderId="0" xfId="0" applyNumberFormat="1" applyFill="1"/>
    <xf numFmtId="164" fontId="10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/>
    <xf numFmtId="4" fontId="2" fillId="0" borderId="3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14" fontId="11" fillId="2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justify" vertical="center" wrapText="1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87;&#1088;&#1080;&#1083;&#1086;&#1078;&#1077;&#1085;&#1080;&#1077;%202%20&#1087;&#1077;&#1088;&#1077;&#1095;%20&#1084;&#1077;&#1088;&#1086;&#1087;&#1088;&#1080;&#1103;&#1090;%20(&#1087;&#1086;%20&#1089;&#1086;&#1089;&#1090;%20&#1085;&#1072;%20%2016.11.21%20&#1089;%20&#1046;&#1050;&#106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 1"/>
    </sheetNames>
    <sheetDataSet>
      <sheetData sheetId="0" refreshError="1">
        <row r="91">
          <cell r="A91" t="str">
            <v>1.2.17</v>
          </cell>
        </row>
        <row r="97">
          <cell r="A97" t="str">
            <v>1.2.18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20"/>
  <sheetViews>
    <sheetView tabSelected="1" view="pageBreakPreview" topLeftCell="C2" zoomScale="68" zoomScaleNormal="68" zoomScaleSheetLayoutView="68" zoomScalePageLayoutView="40" workbookViewId="0">
      <selection activeCell="P2" sqref="P2:Q7"/>
    </sheetView>
  </sheetViews>
  <sheetFormatPr defaultColWidth="8.7109375" defaultRowHeight="15" x14ac:dyDescent="0.25"/>
  <cols>
    <col min="1" max="1" width="11.42578125" style="6" customWidth="1"/>
    <col min="2" max="2" width="47.140625" style="6" customWidth="1"/>
    <col min="3" max="3" width="15.140625" style="6" customWidth="1"/>
    <col min="4" max="4" width="16.5703125" style="6" customWidth="1"/>
    <col min="5" max="6" width="18.5703125" style="6" customWidth="1"/>
    <col min="7" max="8" width="18.42578125" style="6" customWidth="1"/>
    <col min="9" max="9" width="18.42578125" style="19" customWidth="1"/>
    <col min="10" max="14" width="18.42578125" style="6" customWidth="1"/>
    <col min="15" max="15" width="20.42578125" style="6" customWidth="1"/>
    <col min="16" max="16" width="26.85546875" style="6" customWidth="1"/>
    <col min="17" max="17" width="50.28515625" style="6" customWidth="1"/>
    <col min="18" max="18" width="22.42578125" customWidth="1"/>
    <col min="19" max="19" width="12.28515625" bestFit="1" customWidth="1"/>
    <col min="20" max="20" width="11" bestFit="1" customWidth="1"/>
    <col min="21" max="21" width="10.7109375" bestFit="1" customWidth="1"/>
    <col min="22" max="22" width="12" customWidth="1"/>
    <col min="67" max="67" width="8.7109375" customWidth="1"/>
  </cols>
  <sheetData>
    <row r="1" spans="1:17" ht="15" customHeight="1" x14ac:dyDescent="0.25">
      <c r="O1" s="18" t="s">
        <v>252</v>
      </c>
      <c r="P1" s="18" t="s">
        <v>253</v>
      </c>
      <c r="Q1" s="18"/>
    </row>
    <row r="2" spans="1:17" ht="15" customHeight="1" x14ac:dyDescent="0.25">
      <c r="O2" s="18"/>
      <c r="P2" s="213" t="s">
        <v>539</v>
      </c>
      <c r="Q2" s="214"/>
    </row>
    <row r="3" spans="1:17" ht="15" customHeight="1" x14ac:dyDescent="0.25">
      <c r="O3" s="18"/>
      <c r="P3" s="214"/>
      <c r="Q3" s="214"/>
    </row>
    <row r="4" spans="1:17" ht="15" customHeight="1" x14ac:dyDescent="0.25">
      <c r="O4" s="18"/>
      <c r="P4" s="214"/>
      <c r="Q4" s="214"/>
    </row>
    <row r="5" spans="1:17" ht="15" customHeight="1" x14ac:dyDescent="0.25">
      <c r="O5" s="18"/>
      <c r="P5" s="214"/>
      <c r="Q5" s="214"/>
    </row>
    <row r="6" spans="1:17" ht="33.75" customHeight="1" x14ac:dyDescent="0.25">
      <c r="O6" s="18"/>
      <c r="P6" s="214"/>
      <c r="Q6" s="214"/>
    </row>
    <row r="7" spans="1:17" s="1" customFormat="1" ht="47.25" customHeight="1" x14ac:dyDescent="0.25">
      <c r="A7" s="6"/>
      <c r="B7" s="6"/>
      <c r="C7" s="6"/>
      <c r="D7" s="6"/>
      <c r="E7" s="6"/>
      <c r="F7" s="6"/>
      <c r="G7" s="6"/>
      <c r="H7" s="6"/>
      <c r="I7" s="19"/>
      <c r="J7" s="6"/>
      <c r="K7" s="6"/>
      <c r="L7" s="6"/>
      <c r="M7" s="6"/>
      <c r="N7" s="6"/>
      <c r="O7" s="18"/>
      <c r="P7" s="214"/>
      <c r="Q7" s="214"/>
    </row>
    <row r="8" spans="1:17" s="1" customFormat="1" ht="125.25" customHeight="1" x14ac:dyDescent="0.25">
      <c r="A8" s="6"/>
      <c r="B8" s="6"/>
      <c r="C8" s="6"/>
      <c r="D8" s="15"/>
      <c r="E8" s="6"/>
      <c r="F8" s="6"/>
      <c r="G8" s="6"/>
      <c r="H8" s="6"/>
      <c r="I8" s="19"/>
      <c r="J8" s="6" t="s">
        <v>219</v>
      </c>
      <c r="K8" s="6"/>
      <c r="L8" s="6"/>
      <c r="M8" s="6"/>
      <c r="N8" s="6"/>
      <c r="O8" s="6"/>
      <c r="P8" s="229"/>
      <c r="Q8" s="229"/>
    </row>
    <row r="9" spans="1:17" s="1" customFormat="1" ht="21" customHeight="1" x14ac:dyDescent="0.3">
      <c r="A9" s="215" t="s">
        <v>0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</row>
    <row r="10" spans="1:17" s="1" customFormat="1" ht="46.5" customHeight="1" x14ac:dyDescent="0.3">
      <c r="A10" s="216" t="s">
        <v>227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</row>
    <row r="11" spans="1:17" s="1" customFormat="1" ht="18.75" customHeight="1" x14ac:dyDescent="0.35">
      <c r="A11" s="7"/>
      <c r="B11" s="7"/>
      <c r="C11" s="7"/>
      <c r="D11" s="7"/>
      <c r="E11" s="7"/>
      <c r="F11" s="7"/>
      <c r="G11" s="7"/>
      <c r="H11" s="7"/>
      <c r="I11" s="51"/>
      <c r="J11" s="7"/>
      <c r="K11" s="7"/>
      <c r="L11" s="7"/>
      <c r="M11" s="7"/>
      <c r="N11" s="7"/>
      <c r="O11" s="7"/>
      <c r="P11" s="7"/>
      <c r="Q11" s="7"/>
    </row>
    <row r="12" spans="1:17" s="1" customFormat="1" ht="17.45" customHeight="1" x14ac:dyDescent="0.25">
      <c r="A12" s="217" t="s">
        <v>1</v>
      </c>
      <c r="B12" s="218" t="s">
        <v>2</v>
      </c>
      <c r="C12" s="218" t="s">
        <v>3</v>
      </c>
      <c r="D12" s="218" t="s">
        <v>4</v>
      </c>
      <c r="E12" s="217" t="s">
        <v>5</v>
      </c>
      <c r="F12" s="217"/>
      <c r="G12" s="217"/>
      <c r="H12" s="217"/>
      <c r="I12" s="217"/>
      <c r="J12" s="217"/>
      <c r="K12" s="126"/>
      <c r="L12" s="126"/>
      <c r="M12" s="126"/>
      <c r="N12" s="126"/>
      <c r="O12" s="218" t="s">
        <v>6</v>
      </c>
      <c r="P12" s="218" t="s">
        <v>7</v>
      </c>
      <c r="Q12" s="218" t="s">
        <v>8</v>
      </c>
    </row>
    <row r="13" spans="1:17" s="1" customFormat="1" ht="73.5" customHeight="1" x14ac:dyDescent="0.25">
      <c r="A13" s="217"/>
      <c r="B13" s="218"/>
      <c r="C13" s="218"/>
      <c r="D13" s="218"/>
      <c r="E13" s="126">
        <v>2019</v>
      </c>
      <c r="F13" s="126">
        <v>2020</v>
      </c>
      <c r="G13" s="126">
        <v>2021</v>
      </c>
      <c r="H13" s="126">
        <v>2022</v>
      </c>
      <c r="I13" s="126">
        <v>2023</v>
      </c>
      <c r="J13" s="126">
        <v>2024</v>
      </c>
      <c r="K13" s="126">
        <v>2025</v>
      </c>
      <c r="L13" s="126">
        <v>2026</v>
      </c>
      <c r="M13" s="126">
        <v>2027</v>
      </c>
      <c r="N13" s="126">
        <v>2028</v>
      </c>
      <c r="O13" s="218"/>
      <c r="P13" s="218"/>
      <c r="Q13" s="218"/>
    </row>
    <row r="14" spans="1:17" s="1" customFormat="1" ht="20.25" customHeight="1" x14ac:dyDescent="0.3">
      <c r="A14" s="2">
        <v>1</v>
      </c>
      <c r="B14" s="113">
        <v>2</v>
      </c>
      <c r="C14" s="113">
        <v>3</v>
      </c>
      <c r="D14" s="113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  <c r="M14" s="2"/>
      <c r="N14" s="2"/>
      <c r="O14" s="113">
        <v>13</v>
      </c>
      <c r="P14" s="113">
        <v>14</v>
      </c>
      <c r="Q14" s="14">
        <v>15</v>
      </c>
    </row>
    <row r="15" spans="1:17" s="1" customFormat="1" ht="19.5" x14ac:dyDescent="0.35">
      <c r="A15" s="222" t="s">
        <v>418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</row>
    <row r="16" spans="1:17" s="1" customFormat="1" ht="18.75" x14ac:dyDescent="0.3">
      <c r="A16" s="196" t="s">
        <v>419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</row>
    <row r="17" spans="1:21" s="1" customFormat="1" ht="63" customHeight="1" x14ac:dyDescent="0.25">
      <c r="A17" s="115" t="s">
        <v>9</v>
      </c>
      <c r="B17" s="94" t="s">
        <v>10</v>
      </c>
      <c r="C17" s="93" t="s">
        <v>261</v>
      </c>
      <c r="D17" s="114">
        <f>SUM(E17:N17)</f>
        <v>1910233.1914699997</v>
      </c>
      <c r="E17" s="109">
        <f>76014.09418-1611.749-122</f>
        <v>74280.345180000004</v>
      </c>
      <c r="F17" s="109">
        <f>149110-1196.62371-59.5</f>
        <v>147853.87628999999</v>
      </c>
      <c r="G17" s="109">
        <v>186758.6</v>
      </c>
      <c r="H17" s="109">
        <v>207092.07</v>
      </c>
      <c r="I17" s="109">
        <v>230771</v>
      </c>
      <c r="J17" s="109">
        <v>232146.5</v>
      </c>
      <c r="K17" s="109">
        <v>233095.9</v>
      </c>
      <c r="L17" s="109">
        <v>137768.5</v>
      </c>
      <c r="M17" s="109">
        <v>232290.9</v>
      </c>
      <c r="N17" s="109">
        <v>228175.5</v>
      </c>
      <c r="O17" s="113" t="s">
        <v>452</v>
      </c>
      <c r="P17" s="113" t="s">
        <v>233</v>
      </c>
      <c r="Q17" s="112" t="s">
        <v>353</v>
      </c>
      <c r="R17" s="44">
        <f>K17+K18+K28+K51+K66+K111+K145+K148+K151+K152+K156+K160+K165</f>
        <v>645574.80000000005</v>
      </c>
      <c r="S17" s="44">
        <f>L17+L18+L22+L23+L28+L51+L66+L111+L145+L148+L151+L152+L160+L156+L165</f>
        <v>500155.45000000007</v>
      </c>
      <c r="T17" s="44">
        <f>M17+M18+M22+M23+M28+M51+M66+M111+M145+M148+M151+M152+M156+M160+M165</f>
        <v>518516.52</v>
      </c>
      <c r="U17" s="44">
        <f>N17+N18+N28+N51+N66+N111+N145+N148+N151+N152+N156+N160+N165</f>
        <v>493165.76</v>
      </c>
    </row>
    <row r="18" spans="1:21" s="1" customFormat="1" ht="32.25" customHeight="1" x14ac:dyDescent="0.25">
      <c r="A18" s="181" t="s">
        <v>11</v>
      </c>
      <c r="B18" s="223" t="s">
        <v>250</v>
      </c>
      <c r="C18" s="143" t="s">
        <v>261</v>
      </c>
      <c r="D18" s="220">
        <f>SUM(E18:N18)</f>
        <v>444699.15</v>
      </c>
      <c r="E18" s="224">
        <v>15078</v>
      </c>
      <c r="F18" s="224">
        <v>17049.2</v>
      </c>
      <c r="G18" s="224">
        <v>56386.9</v>
      </c>
      <c r="H18" s="224">
        <v>72951.05</v>
      </c>
      <c r="I18" s="224">
        <v>42648.1</v>
      </c>
      <c r="J18" s="224">
        <v>44899</v>
      </c>
      <c r="K18" s="224">
        <v>39724.6</v>
      </c>
      <c r="L18" s="224">
        <v>56962.3</v>
      </c>
      <c r="M18" s="224">
        <v>48000</v>
      </c>
      <c r="N18" s="224">
        <v>51000</v>
      </c>
      <c r="O18" s="192" t="s">
        <v>452</v>
      </c>
      <c r="P18" s="192" t="s">
        <v>233</v>
      </c>
      <c r="Q18" s="182" t="s">
        <v>492</v>
      </c>
    </row>
    <row r="19" spans="1:21" s="1" customFormat="1" ht="15" customHeight="1" x14ac:dyDescent="0.25">
      <c r="A19" s="181"/>
      <c r="B19" s="223"/>
      <c r="C19" s="143"/>
      <c r="D19" s="220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192"/>
      <c r="P19" s="192"/>
      <c r="Q19" s="221"/>
    </row>
    <row r="20" spans="1:21" s="1" customFormat="1" ht="36" customHeight="1" x14ac:dyDescent="0.25">
      <c r="A20" s="181"/>
      <c r="B20" s="223"/>
      <c r="C20" s="143"/>
      <c r="D20" s="220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192"/>
      <c r="P20" s="192"/>
      <c r="Q20" s="221"/>
    </row>
    <row r="21" spans="1:21" s="1" customFormat="1" ht="45.75" customHeight="1" x14ac:dyDescent="0.25">
      <c r="A21" s="181"/>
      <c r="B21" s="223"/>
      <c r="C21" s="143"/>
      <c r="D21" s="220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192"/>
      <c r="P21" s="192"/>
      <c r="Q21" s="221"/>
      <c r="R21" s="44"/>
    </row>
    <row r="22" spans="1:21" s="1" customFormat="1" ht="81.75" customHeight="1" x14ac:dyDescent="0.25">
      <c r="A22" s="115" t="s">
        <v>12</v>
      </c>
      <c r="B22" s="94" t="s">
        <v>329</v>
      </c>
      <c r="C22" s="93" t="s">
        <v>261</v>
      </c>
      <c r="D22" s="114">
        <f>SUM(E22:M22)</f>
        <v>2052.9</v>
      </c>
      <c r="E22" s="89">
        <v>200</v>
      </c>
      <c r="F22" s="89">
        <v>200</v>
      </c>
      <c r="G22" s="89">
        <v>200</v>
      </c>
      <c r="H22" s="89">
        <v>455</v>
      </c>
      <c r="I22" s="89">
        <v>210</v>
      </c>
      <c r="J22" s="89">
        <v>187.9</v>
      </c>
      <c r="K22" s="89">
        <v>0</v>
      </c>
      <c r="L22" s="89">
        <v>300</v>
      </c>
      <c r="M22" s="89">
        <v>300</v>
      </c>
      <c r="N22" s="89">
        <v>0</v>
      </c>
      <c r="O22" s="113" t="s">
        <v>506</v>
      </c>
      <c r="P22" s="113" t="s">
        <v>233</v>
      </c>
      <c r="Q22" s="112" t="s">
        <v>507</v>
      </c>
      <c r="R22" s="44"/>
    </row>
    <row r="23" spans="1:21" s="1" customFormat="1" ht="75" x14ac:dyDescent="0.25">
      <c r="A23" s="115" t="s">
        <v>13</v>
      </c>
      <c r="B23" s="94" t="s">
        <v>226</v>
      </c>
      <c r="C23" s="93" t="s">
        <v>261</v>
      </c>
      <c r="D23" s="114">
        <f>SUM(E23:M23)</f>
        <v>11784.4</v>
      </c>
      <c r="E23" s="89">
        <v>0</v>
      </c>
      <c r="F23" s="89">
        <v>5100</v>
      </c>
      <c r="G23" s="89">
        <v>4299.8</v>
      </c>
      <c r="H23" s="89">
        <v>299</v>
      </c>
      <c r="I23" s="89">
        <v>0</v>
      </c>
      <c r="J23" s="89">
        <v>2085.6</v>
      </c>
      <c r="K23" s="89">
        <v>0</v>
      </c>
      <c r="L23" s="89">
        <v>0</v>
      </c>
      <c r="M23" s="89">
        <v>0</v>
      </c>
      <c r="N23" s="89">
        <v>0</v>
      </c>
      <c r="O23" s="113" t="s">
        <v>453</v>
      </c>
      <c r="P23" s="113" t="s">
        <v>233</v>
      </c>
      <c r="Q23" s="112" t="s">
        <v>14</v>
      </c>
    </row>
    <row r="24" spans="1:21" s="1" customFormat="1" ht="37.5" customHeight="1" x14ac:dyDescent="0.25">
      <c r="A24" s="146" t="s">
        <v>186</v>
      </c>
      <c r="B24" s="149" t="s">
        <v>330</v>
      </c>
      <c r="C24" s="112" t="s">
        <v>182</v>
      </c>
      <c r="D24" s="114">
        <f>G24+H24+I24+J24+K24+L24+M24+N24</f>
        <v>1934729.14</v>
      </c>
      <c r="E24" s="127"/>
      <c r="F24" s="127"/>
      <c r="G24" s="127">
        <f>G25+G26+G27+G28</f>
        <v>293639.90000000002</v>
      </c>
      <c r="H24" s="127">
        <f>H25+H26+H27+H28</f>
        <v>346018.82</v>
      </c>
      <c r="I24" s="141">
        <f>I25+I26+I27+I29</f>
        <v>420728.02</v>
      </c>
      <c r="J24" s="127">
        <f>J25+J26+J27+J28</f>
        <v>262641.09999999998</v>
      </c>
      <c r="K24" s="127">
        <f>K25+K26+K27+K29</f>
        <v>241105.8</v>
      </c>
      <c r="L24" s="127">
        <f>L25+L26+L27+L29</f>
        <v>169223.3</v>
      </c>
      <c r="M24" s="127">
        <f>M25+M26+M27+M29</f>
        <v>113652.2</v>
      </c>
      <c r="N24" s="127">
        <f>N25+N26+N27+N29</f>
        <v>87720</v>
      </c>
      <c r="O24" s="152" t="s">
        <v>454</v>
      </c>
      <c r="P24" s="152" t="s">
        <v>233</v>
      </c>
      <c r="Q24" s="149" t="s">
        <v>185</v>
      </c>
    </row>
    <row r="25" spans="1:21" s="1" customFormat="1" ht="56.25" x14ac:dyDescent="0.25">
      <c r="A25" s="147"/>
      <c r="B25" s="150"/>
      <c r="C25" s="112" t="s">
        <v>261</v>
      </c>
      <c r="D25" s="114">
        <f>SUM(E25:L25)</f>
        <v>28435.5</v>
      </c>
      <c r="E25" s="127"/>
      <c r="F25" s="127"/>
      <c r="G25" s="127">
        <v>16035.6</v>
      </c>
      <c r="H25" s="127">
        <v>5800.7</v>
      </c>
      <c r="I25" s="127">
        <v>6599.2</v>
      </c>
      <c r="J25" s="127">
        <v>0</v>
      </c>
      <c r="K25" s="127">
        <v>0</v>
      </c>
      <c r="L25" s="127">
        <v>0</v>
      </c>
      <c r="M25" s="127">
        <v>0</v>
      </c>
      <c r="N25" s="127">
        <v>0</v>
      </c>
      <c r="O25" s="153"/>
      <c r="P25" s="153"/>
      <c r="Q25" s="150"/>
    </row>
    <row r="26" spans="1:21" s="1" customFormat="1" ht="105" customHeight="1" x14ac:dyDescent="0.25">
      <c r="A26" s="147"/>
      <c r="B26" s="150"/>
      <c r="C26" s="112" t="s">
        <v>18</v>
      </c>
      <c r="D26" s="114">
        <f>G26+H26+I26+J26+K26+L26</f>
        <v>137849.96</v>
      </c>
      <c r="E26" s="127"/>
      <c r="F26" s="127"/>
      <c r="G26" s="127">
        <v>30512.1</v>
      </c>
      <c r="H26" s="127">
        <v>30654.799999999999</v>
      </c>
      <c r="I26" s="141">
        <v>30733.06</v>
      </c>
      <c r="J26" s="127">
        <v>45950</v>
      </c>
      <c r="K26" s="127">
        <v>0</v>
      </c>
      <c r="L26" s="127">
        <v>0</v>
      </c>
      <c r="M26" s="127">
        <v>0</v>
      </c>
      <c r="N26" s="127">
        <v>0</v>
      </c>
      <c r="O26" s="153"/>
      <c r="P26" s="153"/>
      <c r="Q26" s="150"/>
      <c r="R26" s="44"/>
    </row>
    <row r="27" spans="1:21" s="1" customFormat="1" ht="102" customHeight="1" x14ac:dyDescent="0.25">
      <c r="A27" s="147"/>
      <c r="B27" s="150"/>
      <c r="C27" s="112" t="s">
        <v>183</v>
      </c>
      <c r="D27" s="114">
        <f>G27+H27+I27+J27+K27+L27</f>
        <v>300000</v>
      </c>
      <c r="E27" s="127"/>
      <c r="F27" s="127"/>
      <c r="G27" s="127">
        <v>99636.3</v>
      </c>
      <c r="H27" s="127">
        <v>100064.52</v>
      </c>
      <c r="I27" s="141">
        <v>100299.18</v>
      </c>
      <c r="J27" s="127">
        <v>0</v>
      </c>
      <c r="K27" s="127">
        <v>0</v>
      </c>
      <c r="L27" s="127">
        <v>0</v>
      </c>
      <c r="M27" s="127">
        <v>0</v>
      </c>
      <c r="N27" s="127">
        <v>0</v>
      </c>
      <c r="O27" s="153"/>
      <c r="P27" s="153"/>
      <c r="Q27" s="150"/>
      <c r="R27" s="44"/>
    </row>
    <row r="28" spans="1:21" s="1" customFormat="1" ht="62.25" hidden="1" customHeight="1" x14ac:dyDescent="0.25">
      <c r="A28" s="147"/>
      <c r="B28" s="150"/>
      <c r="C28" s="112" t="s">
        <v>184</v>
      </c>
      <c r="D28" s="114">
        <f>G28+H28+I28+J28+K28+L28+M28+N28</f>
        <v>1468443.68</v>
      </c>
      <c r="E28" s="127"/>
      <c r="F28" s="127"/>
      <c r="G28" s="127">
        <v>147455.9</v>
      </c>
      <c r="H28" s="127">
        <v>209498.8</v>
      </c>
      <c r="I28" s="141">
        <v>283096.58</v>
      </c>
      <c r="J28" s="127">
        <v>216691.1</v>
      </c>
      <c r="K28" s="127">
        <v>241105.8</v>
      </c>
      <c r="L28" s="127">
        <v>169223.3</v>
      </c>
      <c r="M28" s="127">
        <v>113652.2</v>
      </c>
      <c r="N28" s="127">
        <v>87720</v>
      </c>
      <c r="O28" s="153"/>
      <c r="P28" s="153"/>
      <c r="Q28" s="150"/>
      <c r="R28" s="44"/>
    </row>
    <row r="29" spans="1:21" s="1" customFormat="1" ht="62.25" customHeight="1" x14ac:dyDescent="0.25">
      <c r="A29" s="148"/>
      <c r="B29" s="151"/>
      <c r="C29" s="112" t="s">
        <v>184</v>
      </c>
      <c r="D29" s="114">
        <f>G29+H29+I29+J29+K29+L29+M29+N29</f>
        <v>1468443.68</v>
      </c>
      <c r="E29" s="127"/>
      <c r="F29" s="127"/>
      <c r="G29" s="127">
        <v>147455.9</v>
      </c>
      <c r="H29" s="127">
        <v>209498.8</v>
      </c>
      <c r="I29" s="127">
        <v>283096.58</v>
      </c>
      <c r="J29" s="127">
        <v>216691.1</v>
      </c>
      <c r="K29" s="127">
        <v>241105.8</v>
      </c>
      <c r="L29" s="127">
        <v>169223.3</v>
      </c>
      <c r="M29" s="127">
        <v>113652.2</v>
      </c>
      <c r="N29" s="127">
        <v>87720</v>
      </c>
      <c r="O29" s="154"/>
      <c r="P29" s="154"/>
      <c r="Q29" s="151"/>
      <c r="R29" s="44"/>
    </row>
    <row r="30" spans="1:21" s="1" customFormat="1" ht="39.75" customHeight="1" x14ac:dyDescent="0.25">
      <c r="A30" s="174" t="s">
        <v>306</v>
      </c>
      <c r="B30" s="184" t="s">
        <v>307</v>
      </c>
      <c r="C30" s="112" t="s">
        <v>182</v>
      </c>
      <c r="D30" s="114">
        <f>SUM(E30:M30)</f>
        <v>332956.93</v>
      </c>
      <c r="E30" s="89">
        <v>0</v>
      </c>
      <c r="F30" s="127">
        <v>0</v>
      </c>
      <c r="G30" s="127">
        <v>0</v>
      </c>
      <c r="H30" s="127">
        <v>0</v>
      </c>
      <c r="I30" s="127">
        <f t="shared" ref="I30:N30" si="0">I31+I32+I33+I34</f>
        <v>192122.13</v>
      </c>
      <c r="J30" s="89">
        <f t="shared" si="0"/>
        <v>140834.79999999999</v>
      </c>
      <c r="K30" s="89">
        <f t="shared" si="0"/>
        <v>0</v>
      </c>
      <c r="L30" s="89">
        <f t="shared" si="0"/>
        <v>0</v>
      </c>
      <c r="M30" s="127">
        <f t="shared" si="0"/>
        <v>0</v>
      </c>
      <c r="N30" s="127">
        <f t="shared" si="0"/>
        <v>0</v>
      </c>
      <c r="O30" s="192" t="s">
        <v>283</v>
      </c>
      <c r="P30" s="192" t="s">
        <v>233</v>
      </c>
      <c r="Q30" s="184" t="s">
        <v>344</v>
      </c>
    </row>
    <row r="31" spans="1:21" s="1" customFormat="1" ht="57.75" customHeight="1" x14ac:dyDescent="0.25">
      <c r="A31" s="174"/>
      <c r="B31" s="184"/>
      <c r="C31" s="112" t="s">
        <v>261</v>
      </c>
      <c r="D31" s="114">
        <f t="shared" ref="D31" si="1">SUM(E31:L31)</f>
        <v>10212</v>
      </c>
      <c r="E31" s="89"/>
      <c r="F31" s="89"/>
      <c r="G31" s="89"/>
      <c r="H31" s="89"/>
      <c r="I31" s="89">
        <v>6414</v>
      </c>
      <c r="J31" s="89">
        <v>3798</v>
      </c>
      <c r="K31" s="89">
        <v>0</v>
      </c>
      <c r="L31" s="89">
        <v>0</v>
      </c>
      <c r="M31" s="89">
        <v>0</v>
      </c>
      <c r="N31" s="89">
        <v>0</v>
      </c>
      <c r="O31" s="192"/>
      <c r="P31" s="192"/>
      <c r="Q31" s="184"/>
    </row>
    <row r="32" spans="1:21" s="1" customFormat="1" ht="49.5" customHeight="1" x14ac:dyDescent="0.25">
      <c r="A32" s="174"/>
      <c r="B32" s="184"/>
      <c r="C32" s="112" t="s">
        <v>18</v>
      </c>
      <c r="D32" s="114">
        <f>SUM(E32:M32)</f>
        <v>14750</v>
      </c>
      <c r="E32" s="89"/>
      <c r="F32" s="89"/>
      <c r="G32" s="89"/>
      <c r="H32" s="89"/>
      <c r="I32" s="89">
        <v>6414</v>
      </c>
      <c r="J32" s="89">
        <v>8336</v>
      </c>
      <c r="K32" s="89">
        <v>0</v>
      </c>
      <c r="L32" s="89">
        <v>0</v>
      </c>
      <c r="M32" s="89">
        <v>0</v>
      </c>
      <c r="N32" s="89">
        <v>0</v>
      </c>
      <c r="O32" s="192"/>
      <c r="P32" s="192"/>
      <c r="Q32" s="184"/>
    </row>
    <row r="33" spans="1:23" s="1" customFormat="1" ht="49.5" customHeight="1" x14ac:dyDescent="0.25">
      <c r="A33" s="174"/>
      <c r="B33" s="184"/>
      <c r="C33" s="112" t="s">
        <v>183</v>
      </c>
      <c r="D33" s="114">
        <f>SUM(E33:M33)</f>
        <v>238157</v>
      </c>
      <c r="E33" s="89"/>
      <c r="F33" s="89"/>
      <c r="G33" s="89"/>
      <c r="H33" s="89"/>
      <c r="I33" s="89">
        <v>136057</v>
      </c>
      <c r="J33" s="89">
        <v>102100</v>
      </c>
      <c r="K33" s="89">
        <v>0</v>
      </c>
      <c r="L33" s="89">
        <v>0</v>
      </c>
      <c r="M33" s="89">
        <v>0</v>
      </c>
      <c r="N33" s="89">
        <v>0</v>
      </c>
      <c r="O33" s="192"/>
      <c r="P33" s="192"/>
      <c r="Q33" s="184"/>
    </row>
    <row r="34" spans="1:23" s="1" customFormat="1" ht="45" customHeight="1" x14ac:dyDescent="0.25">
      <c r="A34" s="174"/>
      <c r="B34" s="184"/>
      <c r="C34" s="112" t="s">
        <v>184</v>
      </c>
      <c r="D34" s="114">
        <f>SUM(E34:M34)</f>
        <v>69837.929999999993</v>
      </c>
      <c r="E34" s="89"/>
      <c r="F34" s="89"/>
      <c r="G34" s="89"/>
      <c r="H34" s="89"/>
      <c r="I34" s="89">
        <v>43237.13</v>
      </c>
      <c r="J34" s="89">
        <v>26600.799999999999</v>
      </c>
      <c r="K34" s="89">
        <v>0</v>
      </c>
      <c r="L34" s="89">
        <v>0</v>
      </c>
      <c r="M34" s="89">
        <v>0</v>
      </c>
      <c r="N34" s="89">
        <v>0</v>
      </c>
      <c r="O34" s="192"/>
      <c r="P34" s="192"/>
      <c r="Q34" s="184"/>
    </row>
    <row r="35" spans="1:23" s="1" customFormat="1" ht="63.75" customHeight="1" x14ac:dyDescent="0.25">
      <c r="A35" s="174" t="s">
        <v>431</v>
      </c>
      <c r="B35" s="174"/>
      <c r="C35" s="113"/>
      <c r="D35" s="114">
        <f>SUM(E35:N35)</f>
        <v>4636455.7114699995</v>
      </c>
      <c r="E35" s="109">
        <f>E17+E18+E22+E23+E25+E26+E27+E28</f>
        <v>89558.345180000004</v>
      </c>
      <c r="F35" s="109">
        <f>F17+F18+F22+F23+F25+F26+F27+F28</f>
        <v>170203.07629</v>
      </c>
      <c r="G35" s="109">
        <f>G17+G18+G22+G23+G25+G26+G27+G28</f>
        <v>541285.19999999995</v>
      </c>
      <c r="H35" s="109">
        <f>H17+H18+H22+H23+H24</f>
        <v>626815.93999999994</v>
      </c>
      <c r="I35" s="109">
        <f>I17+I18+I22+I23+I24+I30</f>
        <v>886479.25</v>
      </c>
      <c r="J35" s="109">
        <f>J17+J18+J22+J23+J24+J30</f>
        <v>682794.89999999991</v>
      </c>
      <c r="K35" s="114">
        <f>K17+K18+K24</f>
        <v>513926.3</v>
      </c>
      <c r="L35" s="114">
        <f>L17+L18+L22+L23+L24</f>
        <v>364254.1</v>
      </c>
      <c r="M35" s="114">
        <f>M17+M18+M22+M23+M24+M30</f>
        <v>394243.10000000003</v>
      </c>
      <c r="N35" s="114">
        <f>N17+N18+N22+N23+N24+N30</f>
        <v>366895.5</v>
      </c>
      <c r="O35" s="113"/>
      <c r="P35" s="113"/>
      <c r="Q35" s="113"/>
      <c r="R35" s="44"/>
    </row>
    <row r="36" spans="1:23" s="1" customFormat="1" ht="30" customHeight="1" x14ac:dyDescent="0.3">
      <c r="A36" s="219" t="s">
        <v>417</v>
      </c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</row>
    <row r="37" spans="1:23" s="1" customFormat="1" ht="18.75" customHeight="1" x14ac:dyDescent="0.25">
      <c r="A37" s="144" t="s">
        <v>15</v>
      </c>
      <c r="B37" s="143" t="s">
        <v>16</v>
      </c>
      <c r="C37" s="93" t="s">
        <v>17</v>
      </c>
      <c r="D37" s="127">
        <f>SUM(D38:D39)</f>
        <v>308733.5</v>
      </c>
      <c r="E37" s="89">
        <f t="shared" ref="E37:I37" si="2">SUM(E38:E39)</f>
        <v>298070.76804</v>
      </c>
      <c r="F37" s="89">
        <f t="shared" si="2"/>
        <v>10662.68902</v>
      </c>
      <c r="G37" s="89">
        <f t="shared" si="2"/>
        <v>0</v>
      </c>
      <c r="H37" s="89">
        <f t="shared" si="2"/>
        <v>0</v>
      </c>
      <c r="I37" s="89">
        <f t="shared" si="2"/>
        <v>0</v>
      </c>
      <c r="J37" s="89"/>
      <c r="K37" s="89"/>
      <c r="L37" s="89"/>
      <c r="M37" s="89"/>
      <c r="N37" s="89"/>
      <c r="O37" s="156" t="s">
        <v>282</v>
      </c>
      <c r="P37" s="156" t="s">
        <v>233</v>
      </c>
      <c r="Q37" s="171" t="s">
        <v>297</v>
      </c>
    </row>
    <row r="38" spans="1:23" s="1" customFormat="1" ht="61.5" customHeight="1" x14ac:dyDescent="0.25">
      <c r="A38" s="144"/>
      <c r="B38" s="143"/>
      <c r="C38" s="93" t="s">
        <v>261</v>
      </c>
      <c r="D38" s="127">
        <f>297078.4</f>
        <v>297078.40000000002</v>
      </c>
      <c r="E38" s="89">
        <f>286415.7</f>
        <v>286415.7</v>
      </c>
      <c r="F38" s="89">
        <v>10662.68902</v>
      </c>
      <c r="G38" s="89">
        <v>0</v>
      </c>
      <c r="H38" s="89">
        <v>0</v>
      </c>
      <c r="I38" s="89">
        <v>0</v>
      </c>
      <c r="J38" s="89"/>
      <c r="K38" s="89"/>
      <c r="L38" s="89"/>
      <c r="M38" s="89"/>
      <c r="N38" s="89"/>
      <c r="O38" s="156"/>
      <c r="P38" s="156"/>
      <c r="Q38" s="171"/>
    </row>
    <row r="39" spans="1:23" s="1" customFormat="1" ht="42.75" customHeight="1" x14ac:dyDescent="0.25">
      <c r="A39" s="144"/>
      <c r="B39" s="143"/>
      <c r="C39" s="93" t="s">
        <v>18</v>
      </c>
      <c r="D39" s="127">
        <f>11655.1</f>
        <v>11655.1</v>
      </c>
      <c r="E39" s="89">
        <v>11655.06804</v>
      </c>
      <c r="F39" s="89">
        <v>0</v>
      </c>
      <c r="G39" s="89">
        <v>0</v>
      </c>
      <c r="H39" s="89">
        <v>0</v>
      </c>
      <c r="I39" s="89">
        <v>0</v>
      </c>
      <c r="J39" s="89"/>
      <c r="K39" s="89"/>
      <c r="L39" s="89"/>
      <c r="M39" s="89"/>
      <c r="N39" s="89"/>
      <c r="O39" s="111" t="s">
        <v>19</v>
      </c>
      <c r="P39" s="156"/>
      <c r="Q39" s="171"/>
      <c r="R39" s="44">
        <f>L47+L48+L49+L50+L66+L68+L91+L92+L93+L95+L98+L100+L104+L106+L108+L111+L129+L130+L135+L139</f>
        <v>140848.56</v>
      </c>
    </row>
    <row r="40" spans="1:23" s="1" customFormat="1" ht="18.75" customHeight="1" x14ac:dyDescent="0.25">
      <c r="A40" s="144" t="s">
        <v>20</v>
      </c>
      <c r="B40" s="143" t="s">
        <v>21</v>
      </c>
      <c r="C40" s="93" t="s">
        <v>17</v>
      </c>
      <c r="D40" s="127">
        <v>38943.5</v>
      </c>
      <c r="E40" s="89">
        <v>38846.9</v>
      </c>
      <c r="F40" s="89">
        <f t="shared" ref="F40:I40" si="3">SUM(F41:F43)</f>
        <v>96.617000000000004</v>
      </c>
      <c r="G40" s="89">
        <f t="shared" si="3"/>
        <v>0</v>
      </c>
      <c r="H40" s="89">
        <f t="shared" si="3"/>
        <v>0</v>
      </c>
      <c r="I40" s="89">
        <f t="shared" si="3"/>
        <v>0</v>
      </c>
      <c r="J40" s="89"/>
      <c r="K40" s="89"/>
      <c r="L40" s="89"/>
      <c r="M40" s="89"/>
      <c r="N40" s="89"/>
      <c r="O40" s="156" t="s">
        <v>282</v>
      </c>
      <c r="P40" s="156" t="s">
        <v>233</v>
      </c>
      <c r="Q40" s="171" t="s">
        <v>298</v>
      </c>
    </row>
    <row r="41" spans="1:23" s="1" customFormat="1" ht="63" customHeight="1" x14ac:dyDescent="0.25">
      <c r="A41" s="144"/>
      <c r="B41" s="143"/>
      <c r="C41" s="93" t="s">
        <v>261</v>
      </c>
      <c r="D41" s="127">
        <f>SUM(E41:J41)</f>
        <v>33736.049120000003</v>
      </c>
      <c r="E41" s="89">
        <f>32854.565+308+424.266+52.60112</f>
        <v>33639.432120000005</v>
      </c>
      <c r="F41" s="89">
        <v>96.617000000000004</v>
      </c>
      <c r="G41" s="89">
        <v>0</v>
      </c>
      <c r="H41" s="89">
        <v>0</v>
      </c>
      <c r="I41" s="89">
        <v>0</v>
      </c>
      <c r="J41" s="89"/>
      <c r="K41" s="89"/>
      <c r="L41" s="89"/>
      <c r="M41" s="89"/>
      <c r="N41" s="89"/>
      <c r="O41" s="156"/>
      <c r="P41" s="156"/>
      <c r="Q41" s="171"/>
    </row>
    <row r="42" spans="1:23" s="1" customFormat="1" ht="37.5" x14ac:dyDescent="0.25">
      <c r="A42" s="144"/>
      <c r="B42" s="143"/>
      <c r="C42" s="93" t="s">
        <v>18</v>
      </c>
      <c r="D42" s="127">
        <f>SUM(E42:J42)</f>
        <v>5207.5108799999998</v>
      </c>
      <c r="E42" s="89">
        <v>5207.5108799999998</v>
      </c>
      <c r="F42" s="89">
        <v>0</v>
      </c>
      <c r="G42" s="89">
        <v>0</v>
      </c>
      <c r="H42" s="89">
        <v>0</v>
      </c>
      <c r="I42" s="89">
        <v>0</v>
      </c>
      <c r="J42" s="89"/>
      <c r="K42" s="89"/>
      <c r="L42" s="89"/>
      <c r="M42" s="89"/>
      <c r="N42" s="89"/>
      <c r="O42" s="111" t="s">
        <v>19</v>
      </c>
      <c r="P42" s="156"/>
      <c r="Q42" s="171"/>
    </row>
    <row r="43" spans="1:23" s="1" customFormat="1" ht="69" customHeight="1" x14ac:dyDescent="0.25">
      <c r="A43" s="95" t="s">
        <v>22</v>
      </c>
      <c r="B43" s="94" t="s">
        <v>23</v>
      </c>
      <c r="C43" s="93" t="s">
        <v>261</v>
      </c>
      <c r="D43" s="127">
        <f>SUM(E43:J43)</f>
        <v>5043.152</v>
      </c>
      <c r="E43" s="109">
        <f>5000+43.152</f>
        <v>5043.152</v>
      </c>
      <c r="F43" s="109">
        <v>0</v>
      </c>
      <c r="G43" s="109">
        <v>0</v>
      </c>
      <c r="H43" s="109">
        <v>0</v>
      </c>
      <c r="I43" s="109">
        <v>0</v>
      </c>
      <c r="J43" s="109"/>
      <c r="K43" s="109"/>
      <c r="L43" s="109"/>
      <c r="M43" s="109"/>
      <c r="N43" s="109"/>
      <c r="O43" s="111" t="s">
        <v>19</v>
      </c>
      <c r="P43" s="111" t="s">
        <v>233</v>
      </c>
      <c r="Q43" s="93" t="s">
        <v>272</v>
      </c>
    </row>
    <row r="44" spans="1:23" s="1" customFormat="1" ht="45" customHeight="1" x14ac:dyDescent="0.25">
      <c r="A44" s="181" t="s">
        <v>24</v>
      </c>
      <c r="B44" s="143" t="s">
        <v>25</v>
      </c>
      <c r="C44" s="93" t="s">
        <v>17</v>
      </c>
      <c r="D44" s="114">
        <f>D45+D46+D47+D48+D49</f>
        <v>83433.358970000001</v>
      </c>
      <c r="E44" s="109">
        <f t="shared" ref="E44:H44" si="4">E45+E46</f>
        <v>27844.848969999999</v>
      </c>
      <c r="F44" s="109">
        <f t="shared" si="4"/>
        <v>0</v>
      </c>
      <c r="G44" s="109">
        <f t="shared" si="4"/>
        <v>0</v>
      </c>
      <c r="H44" s="109">
        <f t="shared" si="4"/>
        <v>0</v>
      </c>
      <c r="I44" s="109">
        <f>I45+I46+I47+I48+I49</f>
        <v>1775.4</v>
      </c>
      <c r="J44" s="114">
        <f>J45+J46+J47+J48+J49</f>
        <v>2805.69</v>
      </c>
      <c r="K44" s="114">
        <f>K47+K48+K49</f>
        <v>3347.99</v>
      </c>
      <c r="L44" s="114">
        <f>L47+L48+L49</f>
        <v>7332.5</v>
      </c>
      <c r="M44" s="114">
        <f>M47+M48+M49</f>
        <v>18499.489999999998</v>
      </c>
      <c r="N44" s="114">
        <f>N47+N48+N49</f>
        <v>21827.439999999999</v>
      </c>
      <c r="O44" s="111" t="s">
        <v>490</v>
      </c>
      <c r="P44" s="111"/>
      <c r="Q44" s="143" t="s">
        <v>273</v>
      </c>
      <c r="R44" s="44"/>
    </row>
    <row r="45" spans="1:23" s="1" customFormat="1" ht="70.5" customHeight="1" x14ac:dyDescent="0.25">
      <c r="A45" s="181"/>
      <c r="B45" s="143"/>
      <c r="C45" s="93" t="s">
        <v>261</v>
      </c>
      <c r="D45" s="127">
        <f>SUM(E45:J45)</f>
        <v>19088.448970000001</v>
      </c>
      <c r="E45" s="109">
        <f>19000+88.44897</f>
        <v>19088.448970000001</v>
      </c>
      <c r="F45" s="109">
        <v>0</v>
      </c>
      <c r="G45" s="109">
        <v>0</v>
      </c>
      <c r="H45" s="109">
        <v>0</v>
      </c>
      <c r="I45" s="109">
        <v>0</v>
      </c>
      <c r="J45" s="109"/>
      <c r="K45" s="109"/>
      <c r="L45" s="109"/>
      <c r="M45" s="109"/>
      <c r="N45" s="109"/>
      <c r="O45" s="111" t="s">
        <v>19</v>
      </c>
      <c r="P45" s="156" t="s">
        <v>233</v>
      </c>
      <c r="Q45" s="143"/>
    </row>
    <row r="46" spans="1:23" s="1" customFormat="1" ht="52.5" customHeight="1" x14ac:dyDescent="0.25">
      <c r="A46" s="181"/>
      <c r="B46" s="143"/>
      <c r="C46" s="93" t="s">
        <v>18</v>
      </c>
      <c r="D46" s="127">
        <v>8756.4</v>
      </c>
      <c r="E46" s="114">
        <v>8756.4</v>
      </c>
      <c r="F46" s="114">
        <v>0</v>
      </c>
      <c r="G46" s="114">
        <v>0</v>
      </c>
      <c r="H46" s="114">
        <v>0</v>
      </c>
      <c r="I46" s="114">
        <v>0</v>
      </c>
      <c r="J46" s="114"/>
      <c r="K46" s="114"/>
      <c r="L46" s="114"/>
      <c r="M46" s="114"/>
      <c r="N46" s="114"/>
      <c r="O46" s="111" t="s">
        <v>19</v>
      </c>
      <c r="P46" s="156"/>
      <c r="Q46" s="143"/>
    </row>
    <row r="47" spans="1:23" s="1" customFormat="1" ht="104.25" customHeight="1" x14ac:dyDescent="0.25">
      <c r="A47" s="181"/>
      <c r="B47" s="143"/>
      <c r="C47" s="93" t="s">
        <v>261</v>
      </c>
      <c r="D47" s="127">
        <f>I47+J47+K47+L47+M47+N47</f>
        <v>37447.179999999993</v>
      </c>
      <c r="E47" s="109"/>
      <c r="F47" s="109"/>
      <c r="G47" s="109"/>
      <c r="H47" s="109"/>
      <c r="I47" s="109">
        <v>413.6</v>
      </c>
      <c r="J47" s="110">
        <v>999.99</v>
      </c>
      <c r="K47" s="107">
        <v>999.99</v>
      </c>
      <c r="L47" s="109">
        <v>4000</v>
      </c>
      <c r="M47" s="109">
        <v>15166.8</v>
      </c>
      <c r="N47" s="109">
        <v>15866.8</v>
      </c>
      <c r="O47" s="111" t="s">
        <v>463</v>
      </c>
      <c r="P47" s="111" t="s">
        <v>254</v>
      </c>
      <c r="Q47" s="94" t="s">
        <v>464</v>
      </c>
      <c r="R47" s="44">
        <f>K47+K91+K98+K129+K177+K209+K213+K314+K318+K322</f>
        <v>50335.649999999994</v>
      </c>
      <c r="S47" s="44">
        <f>K47+K91+K129</f>
        <v>6413.5999999999995</v>
      </c>
      <c r="T47" s="44"/>
    </row>
    <row r="48" spans="1:23" s="1" customFormat="1" ht="81" customHeight="1" x14ac:dyDescent="0.25">
      <c r="A48" s="181"/>
      <c r="B48" s="143"/>
      <c r="C48" s="93" t="s">
        <v>261</v>
      </c>
      <c r="D48" s="127">
        <f>SUM(E48:N48)</f>
        <v>9201.9</v>
      </c>
      <c r="E48" s="109"/>
      <c r="F48" s="109"/>
      <c r="G48" s="109"/>
      <c r="H48" s="109"/>
      <c r="I48" s="109">
        <v>748.2</v>
      </c>
      <c r="J48" s="109">
        <v>1105.7</v>
      </c>
      <c r="K48" s="114">
        <v>1348</v>
      </c>
      <c r="L48" s="109">
        <v>2000</v>
      </c>
      <c r="M48" s="109">
        <v>2000</v>
      </c>
      <c r="N48" s="109">
        <v>2000</v>
      </c>
      <c r="O48" s="111" t="s">
        <v>463</v>
      </c>
      <c r="P48" s="111" t="s">
        <v>204</v>
      </c>
      <c r="Q48" s="94" t="s">
        <v>473</v>
      </c>
      <c r="R48" s="44">
        <f>K48+K92+K99+K211+K327+K331</f>
        <v>27595</v>
      </c>
      <c r="S48" s="44">
        <f>L48+L92+L99+L211+L347</f>
        <v>25610.47</v>
      </c>
      <c r="T48" s="44">
        <f>M48+M92+M99+M211</f>
        <v>23257.5</v>
      </c>
      <c r="U48" s="44">
        <f>N48+N92+N99+N211</f>
        <v>27634.800000000003</v>
      </c>
      <c r="V48" s="44">
        <f>N48+N92+N211</f>
        <v>21001.4</v>
      </c>
      <c r="W48" s="44">
        <f>K48+K92+K99</f>
        <v>9689.4</v>
      </c>
    </row>
    <row r="49" spans="1:20" s="1" customFormat="1" ht="94.5" customHeight="1" x14ac:dyDescent="0.25">
      <c r="A49" s="181"/>
      <c r="B49" s="143"/>
      <c r="C49" s="93" t="s">
        <v>261</v>
      </c>
      <c r="D49" s="127">
        <f>I49+J49+K49+L49+M49+N49</f>
        <v>8939.43</v>
      </c>
      <c r="E49" s="109"/>
      <c r="F49" s="109"/>
      <c r="G49" s="109"/>
      <c r="H49" s="109"/>
      <c r="I49" s="109">
        <v>613.6</v>
      </c>
      <c r="J49" s="109">
        <v>700</v>
      </c>
      <c r="K49" s="106">
        <v>1000</v>
      </c>
      <c r="L49" s="109">
        <v>1332.5</v>
      </c>
      <c r="M49" s="109">
        <v>1332.69</v>
      </c>
      <c r="N49" s="109">
        <v>3960.64</v>
      </c>
      <c r="O49" s="111" t="s">
        <v>463</v>
      </c>
      <c r="P49" s="111" t="s">
        <v>255</v>
      </c>
      <c r="Q49" s="94" t="s">
        <v>474</v>
      </c>
      <c r="R49" s="44">
        <f>K49+K93+K100+K210</f>
        <v>14267.24</v>
      </c>
      <c r="S49" s="44">
        <f>K49+K93</f>
        <v>3199.94</v>
      </c>
    </row>
    <row r="50" spans="1:20" s="1" customFormat="1" ht="18.75" customHeight="1" x14ac:dyDescent="0.25">
      <c r="A50" s="181" t="s">
        <v>26</v>
      </c>
      <c r="B50" s="143" t="s">
        <v>27</v>
      </c>
      <c r="C50" s="93" t="s">
        <v>17</v>
      </c>
      <c r="D50" s="114">
        <f>SUM(E50:N50)</f>
        <v>65143.900000000009</v>
      </c>
      <c r="E50" s="109">
        <v>24028</v>
      </c>
      <c r="F50" s="109">
        <v>6248.1</v>
      </c>
      <c r="G50" s="109">
        <v>523.9</v>
      </c>
      <c r="H50" s="109">
        <v>2557.3000000000002</v>
      </c>
      <c r="I50" s="109">
        <f t="shared" ref="I50:N50" si="5">I51+I52</f>
        <v>2685.6</v>
      </c>
      <c r="J50" s="109">
        <f t="shared" si="5"/>
        <v>3113.4</v>
      </c>
      <c r="K50" s="114">
        <f t="shared" si="5"/>
        <v>3362.1</v>
      </c>
      <c r="L50" s="109">
        <f t="shared" si="5"/>
        <v>4995.8999999999996</v>
      </c>
      <c r="M50" s="109">
        <f t="shared" si="5"/>
        <v>8814.7999999999993</v>
      </c>
      <c r="N50" s="109">
        <f t="shared" si="5"/>
        <v>8814.7999999999993</v>
      </c>
      <c r="O50" s="156" t="s">
        <v>452</v>
      </c>
      <c r="P50" s="156" t="s">
        <v>233</v>
      </c>
      <c r="Q50" s="143" t="s">
        <v>28</v>
      </c>
    </row>
    <row r="51" spans="1:20" s="1" customFormat="1" ht="65.25" customHeight="1" x14ac:dyDescent="0.25">
      <c r="A51" s="181"/>
      <c r="B51" s="143"/>
      <c r="C51" s="93" t="s">
        <v>261</v>
      </c>
      <c r="D51" s="127">
        <f>SUM(E51:N51)</f>
        <v>56112.974920000008</v>
      </c>
      <c r="E51" s="109">
        <f>6+771.22849-21.073+35.422+80+6408.20567+408.334+1149.97+5567.76581+170+330+91.22195</f>
        <v>14997.074919999999</v>
      </c>
      <c r="F51" s="109">
        <v>6248.1</v>
      </c>
      <c r="G51" s="109">
        <v>523.9</v>
      </c>
      <c r="H51" s="109">
        <v>2557.3000000000002</v>
      </c>
      <c r="I51" s="109">
        <v>2685.6</v>
      </c>
      <c r="J51" s="109">
        <v>3113.4</v>
      </c>
      <c r="K51" s="114">
        <v>3362.1</v>
      </c>
      <c r="L51" s="109">
        <v>4995.8999999999996</v>
      </c>
      <c r="M51" s="109">
        <v>8814.7999999999993</v>
      </c>
      <c r="N51" s="109">
        <v>8814.7999999999993</v>
      </c>
      <c r="O51" s="156"/>
      <c r="P51" s="156"/>
      <c r="Q51" s="143"/>
      <c r="R51" s="44">
        <f>K51+K66+K111</f>
        <v>9353.5</v>
      </c>
      <c r="S51" s="44"/>
      <c r="T51" s="44"/>
    </row>
    <row r="52" spans="1:20" s="1" customFormat="1" ht="41.25" customHeight="1" x14ac:dyDescent="0.25">
      <c r="A52" s="181"/>
      <c r="B52" s="143"/>
      <c r="C52" s="93" t="s">
        <v>18</v>
      </c>
      <c r="D52" s="127">
        <v>9031</v>
      </c>
      <c r="E52" s="109">
        <v>9030.9730500000005</v>
      </c>
      <c r="F52" s="109">
        <v>0</v>
      </c>
      <c r="G52" s="109">
        <v>0</v>
      </c>
      <c r="H52" s="109">
        <v>0</v>
      </c>
      <c r="I52" s="109">
        <v>0</v>
      </c>
      <c r="J52" s="109"/>
      <c r="K52" s="109"/>
      <c r="L52" s="109"/>
      <c r="M52" s="109"/>
      <c r="N52" s="109"/>
      <c r="O52" s="111" t="s">
        <v>19</v>
      </c>
      <c r="P52" s="156"/>
      <c r="Q52" s="143"/>
    </row>
    <row r="53" spans="1:20" s="1" customFormat="1" ht="67.5" customHeight="1" x14ac:dyDescent="0.25">
      <c r="A53" s="181"/>
      <c r="B53" s="143"/>
      <c r="C53" s="93" t="s">
        <v>261</v>
      </c>
      <c r="D53" s="127">
        <f>F53+G53+I53+J53+K53+L53+M53</f>
        <v>9185.9</v>
      </c>
      <c r="E53" s="109"/>
      <c r="F53" s="109">
        <v>2000</v>
      </c>
      <c r="G53" s="110">
        <v>5661.9</v>
      </c>
      <c r="H53" s="109"/>
      <c r="I53" s="109">
        <v>1524</v>
      </c>
      <c r="J53" s="109">
        <v>0</v>
      </c>
      <c r="K53" s="114">
        <v>0</v>
      </c>
      <c r="L53" s="114">
        <v>0</v>
      </c>
      <c r="M53" s="114">
        <v>0</v>
      </c>
      <c r="N53" s="114">
        <v>0</v>
      </c>
      <c r="O53" s="113" t="s">
        <v>454</v>
      </c>
      <c r="P53" s="111" t="s">
        <v>192</v>
      </c>
      <c r="Q53" s="93"/>
      <c r="R53" s="44">
        <f>L53+L68+L95+L103+L106+L108+L139+L150+L204+L208+L221+L232+L237+L243+L260</f>
        <v>338913.3</v>
      </c>
      <c r="S53" s="44"/>
    </row>
    <row r="54" spans="1:20" s="1" customFormat="1" ht="112.5" customHeight="1" x14ac:dyDescent="0.25">
      <c r="A54" s="181"/>
      <c r="B54" s="94" t="s">
        <v>29</v>
      </c>
      <c r="C54" s="93"/>
      <c r="D54" s="110"/>
      <c r="E54" s="110"/>
      <c r="F54" s="60"/>
      <c r="G54" s="110"/>
      <c r="H54" s="110"/>
      <c r="I54" s="109"/>
      <c r="J54" s="110"/>
      <c r="K54" s="110"/>
      <c r="L54" s="110"/>
      <c r="M54" s="110"/>
      <c r="N54" s="110"/>
      <c r="O54" s="111" t="s">
        <v>314</v>
      </c>
      <c r="P54" s="111" t="s">
        <v>233</v>
      </c>
      <c r="Q54" s="93" t="s">
        <v>299</v>
      </c>
    </row>
    <row r="55" spans="1:20" s="1" customFormat="1" ht="75.75" customHeight="1" x14ac:dyDescent="0.25">
      <c r="A55" s="181"/>
      <c r="B55" s="143" t="s">
        <v>251</v>
      </c>
      <c r="C55" s="93"/>
      <c r="D55" s="110"/>
      <c r="E55" s="110"/>
      <c r="F55" s="110"/>
      <c r="G55" s="110"/>
      <c r="H55" s="110"/>
      <c r="I55" s="109"/>
      <c r="J55" s="110"/>
      <c r="K55" s="110"/>
      <c r="L55" s="110"/>
      <c r="M55" s="110"/>
      <c r="N55" s="110"/>
      <c r="O55" s="111" t="s">
        <v>19</v>
      </c>
      <c r="P55" s="111" t="s">
        <v>233</v>
      </c>
      <c r="Q55" s="93" t="s">
        <v>288</v>
      </c>
    </row>
    <row r="56" spans="1:20" s="1" customFormat="1" ht="109.5" customHeight="1" x14ac:dyDescent="0.25">
      <c r="A56" s="181"/>
      <c r="B56" s="143"/>
      <c r="C56" s="93"/>
      <c r="D56" s="110"/>
      <c r="E56" s="110"/>
      <c r="F56" s="110"/>
      <c r="G56" s="110"/>
      <c r="H56" s="110"/>
      <c r="I56" s="109"/>
      <c r="J56" s="110"/>
      <c r="K56" s="110"/>
      <c r="L56" s="110"/>
      <c r="M56" s="110"/>
      <c r="N56" s="110"/>
      <c r="O56" s="111" t="s">
        <v>284</v>
      </c>
      <c r="P56" s="111" t="s">
        <v>192</v>
      </c>
      <c r="Q56" s="94" t="s">
        <v>274</v>
      </c>
    </row>
    <row r="57" spans="1:20" s="1" customFormat="1" ht="89.25" customHeight="1" x14ac:dyDescent="0.25">
      <c r="A57" s="181"/>
      <c r="B57" s="119" t="s">
        <v>360</v>
      </c>
      <c r="C57" s="112"/>
      <c r="D57" s="106"/>
      <c r="E57" s="106"/>
      <c r="F57" s="106"/>
      <c r="G57" s="106"/>
      <c r="H57" s="106"/>
      <c r="I57" s="114"/>
      <c r="J57" s="106"/>
      <c r="K57" s="106"/>
      <c r="L57" s="106"/>
      <c r="M57" s="106"/>
      <c r="N57" s="106"/>
      <c r="O57" s="113" t="s">
        <v>496</v>
      </c>
      <c r="P57" s="113" t="s">
        <v>233</v>
      </c>
      <c r="Q57" s="112" t="s">
        <v>501</v>
      </c>
    </row>
    <row r="58" spans="1:20" s="1" customFormat="1" ht="53.25" customHeight="1" x14ac:dyDescent="0.25">
      <c r="A58" s="181"/>
      <c r="B58" s="94" t="s">
        <v>264</v>
      </c>
      <c r="C58" s="93"/>
      <c r="D58" s="110"/>
      <c r="E58" s="110"/>
      <c r="F58" s="110"/>
      <c r="G58" s="110"/>
      <c r="H58" s="110"/>
      <c r="I58" s="109"/>
      <c r="J58" s="110"/>
      <c r="K58" s="110"/>
      <c r="L58" s="110"/>
      <c r="M58" s="110"/>
      <c r="N58" s="110"/>
      <c r="O58" s="113" t="s">
        <v>19</v>
      </c>
      <c r="P58" s="113" t="s">
        <v>233</v>
      </c>
      <c r="Q58" s="112" t="s">
        <v>275</v>
      </c>
    </row>
    <row r="59" spans="1:20" s="1" customFormat="1" ht="63.75" customHeight="1" x14ac:dyDescent="0.25">
      <c r="A59" s="181"/>
      <c r="B59" s="143" t="s">
        <v>30</v>
      </c>
      <c r="C59" s="93"/>
      <c r="D59" s="110"/>
      <c r="E59" s="110"/>
      <c r="F59" s="110"/>
      <c r="G59" s="110"/>
      <c r="H59" s="110"/>
      <c r="I59" s="109"/>
      <c r="J59" s="110"/>
      <c r="K59" s="110"/>
      <c r="L59" s="110"/>
      <c r="M59" s="110"/>
      <c r="N59" s="110"/>
      <c r="O59" s="113" t="s">
        <v>19</v>
      </c>
      <c r="P59" s="113" t="s">
        <v>233</v>
      </c>
      <c r="Q59" s="112" t="s">
        <v>31</v>
      </c>
    </row>
    <row r="60" spans="1:20" s="1" customFormat="1" ht="81" customHeight="1" x14ac:dyDescent="0.25">
      <c r="A60" s="181"/>
      <c r="B60" s="143"/>
      <c r="C60" s="93"/>
      <c r="D60" s="114"/>
      <c r="E60" s="106"/>
      <c r="F60" s="106"/>
      <c r="G60" s="106"/>
      <c r="H60" s="106"/>
      <c r="I60" s="114"/>
      <c r="J60" s="106"/>
      <c r="K60" s="106"/>
      <c r="L60" s="106"/>
      <c r="M60" s="106"/>
      <c r="N60" s="106"/>
      <c r="O60" s="113" t="s">
        <v>463</v>
      </c>
      <c r="P60" s="113" t="s">
        <v>192</v>
      </c>
      <c r="Q60" s="112" t="s">
        <v>259</v>
      </c>
    </row>
    <row r="61" spans="1:20" s="1" customFormat="1" ht="58.5" customHeight="1" x14ac:dyDescent="0.25">
      <c r="A61" s="181"/>
      <c r="B61" s="94" t="s">
        <v>32</v>
      </c>
      <c r="C61" s="93"/>
      <c r="D61" s="106"/>
      <c r="E61" s="106"/>
      <c r="F61" s="106"/>
      <c r="G61" s="106"/>
      <c r="H61" s="106"/>
      <c r="I61" s="114"/>
      <c r="J61" s="106"/>
      <c r="K61" s="106"/>
      <c r="L61" s="106"/>
      <c r="M61" s="106"/>
      <c r="N61" s="106"/>
      <c r="O61" s="113" t="s">
        <v>19</v>
      </c>
      <c r="P61" s="113" t="s">
        <v>233</v>
      </c>
      <c r="Q61" s="112" t="s">
        <v>33</v>
      </c>
    </row>
    <row r="62" spans="1:20" s="1" customFormat="1" ht="85.5" customHeight="1" x14ac:dyDescent="0.25">
      <c r="A62" s="181"/>
      <c r="B62" s="143" t="s">
        <v>331</v>
      </c>
      <c r="C62" s="23"/>
      <c r="D62" s="56"/>
      <c r="E62" s="56"/>
      <c r="F62" s="56"/>
      <c r="G62" s="56"/>
      <c r="H62" s="56"/>
      <c r="I62" s="57"/>
      <c r="J62" s="56"/>
      <c r="K62" s="56"/>
      <c r="L62" s="56"/>
      <c r="M62" s="56"/>
      <c r="N62" s="56"/>
      <c r="O62" s="113" t="s">
        <v>480</v>
      </c>
      <c r="P62" s="113" t="s">
        <v>233</v>
      </c>
      <c r="Q62" s="58" t="s">
        <v>481</v>
      </c>
    </row>
    <row r="63" spans="1:20" s="1" customFormat="1" ht="86.25" customHeight="1" x14ac:dyDescent="0.25">
      <c r="A63" s="181"/>
      <c r="B63" s="143"/>
      <c r="C63" s="23"/>
      <c r="D63" s="56"/>
      <c r="E63" s="56"/>
      <c r="F63" s="56"/>
      <c r="G63" s="56"/>
      <c r="H63" s="56"/>
      <c r="I63" s="57"/>
      <c r="J63" s="56"/>
      <c r="K63" s="56"/>
      <c r="L63" s="56"/>
      <c r="M63" s="56"/>
      <c r="N63" s="56"/>
      <c r="O63" s="113" t="s">
        <v>269</v>
      </c>
      <c r="P63" s="113" t="s">
        <v>192</v>
      </c>
      <c r="Q63" s="112" t="s">
        <v>276</v>
      </c>
    </row>
    <row r="64" spans="1:20" s="1" customFormat="1" ht="62.25" customHeight="1" x14ac:dyDescent="0.25">
      <c r="A64" s="181"/>
      <c r="B64" s="94" t="s">
        <v>34</v>
      </c>
      <c r="C64" s="93"/>
      <c r="D64" s="110"/>
      <c r="E64" s="110"/>
      <c r="F64" s="110"/>
      <c r="G64" s="110"/>
      <c r="H64" s="110"/>
      <c r="I64" s="109"/>
      <c r="J64" s="110"/>
      <c r="K64" s="110"/>
      <c r="L64" s="110"/>
      <c r="M64" s="110"/>
      <c r="N64" s="110"/>
      <c r="O64" s="113" t="s">
        <v>19</v>
      </c>
      <c r="P64" s="111" t="s">
        <v>233</v>
      </c>
      <c r="Q64" s="93" t="s">
        <v>277</v>
      </c>
    </row>
    <row r="65" spans="1:21" s="1" customFormat="1" ht="79.5" customHeight="1" x14ac:dyDescent="0.25">
      <c r="A65" s="181"/>
      <c r="B65" s="94" t="s">
        <v>179</v>
      </c>
      <c r="C65" s="93"/>
      <c r="D65" s="110"/>
      <c r="E65" s="110"/>
      <c r="F65" s="110"/>
      <c r="G65" s="110"/>
      <c r="H65" s="110"/>
      <c r="I65" s="109"/>
      <c r="J65" s="110"/>
      <c r="K65" s="110"/>
      <c r="L65" s="110"/>
      <c r="M65" s="110"/>
      <c r="N65" s="110"/>
      <c r="O65" s="113" t="s">
        <v>269</v>
      </c>
      <c r="P65" s="111" t="s">
        <v>233</v>
      </c>
      <c r="Q65" s="93" t="s">
        <v>180</v>
      </c>
    </row>
    <row r="66" spans="1:21" s="1" customFormat="1" ht="82.5" customHeight="1" x14ac:dyDescent="0.25">
      <c r="A66" s="95" t="s">
        <v>35</v>
      </c>
      <c r="B66" s="94" t="s">
        <v>265</v>
      </c>
      <c r="C66" s="94" t="s">
        <v>261</v>
      </c>
      <c r="D66" s="114">
        <f>SUM(E66:N66)</f>
        <v>45558.9</v>
      </c>
      <c r="E66" s="109">
        <f>ROUND(2023.258+303.8+21.073,1)</f>
        <v>2348.1</v>
      </c>
      <c r="F66" s="109">
        <v>3623.5</v>
      </c>
      <c r="G66" s="109">
        <v>2479.4</v>
      </c>
      <c r="H66" s="109">
        <v>2270</v>
      </c>
      <c r="I66" s="109">
        <v>4727.2</v>
      </c>
      <c r="J66" s="109">
        <v>4274.8999999999996</v>
      </c>
      <c r="K66" s="114">
        <v>5958.9</v>
      </c>
      <c r="L66" s="109">
        <v>7336.9</v>
      </c>
      <c r="M66" s="109">
        <v>6120</v>
      </c>
      <c r="N66" s="109">
        <v>6420</v>
      </c>
      <c r="O66" s="113" t="s">
        <v>452</v>
      </c>
      <c r="P66" s="113" t="s">
        <v>229</v>
      </c>
      <c r="Q66" s="112" t="s">
        <v>455</v>
      </c>
    </row>
    <row r="67" spans="1:21" s="1" customFormat="1" ht="51.75" customHeight="1" x14ac:dyDescent="0.25">
      <c r="A67" s="181" t="s">
        <v>36</v>
      </c>
      <c r="B67" s="143" t="s">
        <v>37</v>
      </c>
      <c r="C67" s="143" t="s">
        <v>261</v>
      </c>
      <c r="D67" s="114">
        <f>SUM(E67:J67)</f>
        <v>5242.1358700000001</v>
      </c>
      <c r="E67" s="109">
        <f>25.194+50+1500+3043.0213+98.66557+287.32</f>
        <v>5004.2008699999997</v>
      </c>
      <c r="F67" s="109">
        <v>237.935</v>
      </c>
      <c r="G67" s="109">
        <v>0</v>
      </c>
      <c r="H67" s="109">
        <v>0</v>
      </c>
      <c r="I67" s="109">
        <v>0</v>
      </c>
      <c r="J67" s="109"/>
      <c r="K67" s="114"/>
      <c r="L67" s="109"/>
      <c r="M67" s="109"/>
      <c r="N67" s="109"/>
      <c r="O67" s="113" t="s">
        <v>282</v>
      </c>
      <c r="P67" s="113" t="s">
        <v>233</v>
      </c>
      <c r="Q67" s="182" t="s">
        <v>38</v>
      </c>
    </row>
    <row r="68" spans="1:21" s="1" customFormat="1" ht="67.5" customHeight="1" x14ac:dyDescent="0.25">
      <c r="A68" s="181"/>
      <c r="B68" s="143"/>
      <c r="C68" s="143"/>
      <c r="D68" s="114">
        <f>SUM(E68:N68)</f>
        <v>234694.19996000003</v>
      </c>
      <c r="E68" s="109">
        <v>0</v>
      </c>
      <c r="F68" s="109">
        <v>137.02995999999999</v>
      </c>
      <c r="G68" s="109">
        <v>1754.8</v>
      </c>
      <c r="H68" s="109">
        <v>49629.1</v>
      </c>
      <c r="I68" s="109">
        <v>40544.44</v>
      </c>
      <c r="J68" s="109">
        <v>42812.74</v>
      </c>
      <c r="K68" s="114">
        <v>6046.69</v>
      </c>
      <c r="L68" s="109">
        <v>30298</v>
      </c>
      <c r="M68" s="109">
        <v>31735.7</v>
      </c>
      <c r="N68" s="109">
        <v>31735.7</v>
      </c>
      <c r="O68" s="111" t="s">
        <v>458</v>
      </c>
      <c r="P68" s="113" t="s">
        <v>192</v>
      </c>
      <c r="Q68" s="182"/>
      <c r="R68" s="87">
        <f>K68+K95+K103+K106+K108++K139+K140+K141+K150+K204+K208+K221+K227+K232+K237+K243+K260</f>
        <v>394916.05000000005</v>
      </c>
      <c r="S68" s="43">
        <f>L68+L95+L103+L106+L108+L139+L150+L204+L208+L221+L228+L232+L237+L243+L260</f>
        <v>363913.30000000005</v>
      </c>
      <c r="T68" s="44">
        <f>M68+M95+M103+M106+M108+M139+M150+M221+M228+M232+M237+M243+M260</f>
        <v>438553.97000000003</v>
      </c>
      <c r="U68" s="44">
        <f>N68+N95+N103+N106+N108+N139+N150+N221+N228+N232+N237+N243+N260</f>
        <v>438717.38</v>
      </c>
    </row>
    <row r="69" spans="1:21" s="1" customFormat="1" ht="93.75" x14ac:dyDescent="0.3">
      <c r="A69" s="61"/>
      <c r="B69" s="94" t="s">
        <v>39</v>
      </c>
      <c r="C69" s="93"/>
      <c r="D69" s="110"/>
      <c r="E69" s="110"/>
      <c r="F69" s="110"/>
      <c r="G69" s="110"/>
      <c r="H69" s="110"/>
      <c r="I69" s="109"/>
      <c r="J69" s="110"/>
      <c r="K69" s="110"/>
      <c r="L69" s="110"/>
      <c r="M69" s="110"/>
      <c r="N69" s="110"/>
      <c r="O69" s="111" t="s">
        <v>282</v>
      </c>
      <c r="P69" s="111" t="s">
        <v>233</v>
      </c>
      <c r="Q69" s="93" t="s">
        <v>289</v>
      </c>
      <c r="R69" s="44">
        <f>K68+K95+K103+K106+K108+K139+K140+K141+K150+K204+K208+K221+K227+K232+K237+K243+K260</f>
        <v>394916.05000000005</v>
      </c>
    </row>
    <row r="70" spans="1:21" s="1" customFormat="1" ht="84" customHeight="1" x14ac:dyDescent="0.3">
      <c r="A70" s="61"/>
      <c r="B70" s="94" t="s">
        <v>40</v>
      </c>
      <c r="C70" s="93"/>
      <c r="D70" s="110"/>
      <c r="E70" s="110"/>
      <c r="F70" s="110"/>
      <c r="G70" s="110"/>
      <c r="H70" s="110"/>
      <c r="I70" s="109"/>
      <c r="J70" s="110"/>
      <c r="K70" s="110"/>
      <c r="L70" s="110"/>
      <c r="M70" s="110"/>
      <c r="N70" s="110"/>
      <c r="O70" s="111" t="s">
        <v>19</v>
      </c>
      <c r="P70" s="111" t="s">
        <v>233</v>
      </c>
      <c r="Q70" s="93" t="s">
        <v>305</v>
      </c>
    </row>
    <row r="71" spans="1:21" s="1" customFormat="1" ht="42.75" customHeight="1" x14ac:dyDescent="0.3">
      <c r="A71" s="61"/>
      <c r="B71" s="94" t="s">
        <v>41</v>
      </c>
      <c r="C71" s="93"/>
      <c r="D71" s="110"/>
      <c r="E71" s="110"/>
      <c r="F71" s="110"/>
      <c r="G71" s="110"/>
      <c r="H71" s="110"/>
      <c r="I71" s="109"/>
      <c r="J71" s="110"/>
      <c r="K71" s="110"/>
      <c r="L71" s="110"/>
      <c r="M71" s="110"/>
      <c r="N71" s="110"/>
      <c r="O71" s="111" t="s">
        <v>19</v>
      </c>
      <c r="P71" s="111" t="s">
        <v>233</v>
      </c>
      <c r="Q71" s="93" t="s">
        <v>42</v>
      </c>
    </row>
    <row r="72" spans="1:21" s="1" customFormat="1" ht="45.75" customHeight="1" x14ac:dyDescent="0.25">
      <c r="A72" s="228"/>
      <c r="B72" s="143" t="s">
        <v>43</v>
      </c>
      <c r="C72" s="93"/>
      <c r="D72" s="110"/>
      <c r="E72" s="110"/>
      <c r="F72" s="110"/>
      <c r="G72" s="110"/>
      <c r="H72" s="110"/>
      <c r="I72" s="109"/>
      <c r="J72" s="110"/>
      <c r="K72" s="110"/>
      <c r="L72" s="110"/>
      <c r="M72" s="110"/>
      <c r="N72" s="110"/>
      <c r="O72" s="111" t="s">
        <v>19</v>
      </c>
      <c r="P72" s="111" t="s">
        <v>233</v>
      </c>
      <c r="Q72" s="93" t="s">
        <v>44</v>
      </c>
    </row>
    <row r="73" spans="1:21" s="1" customFormat="1" ht="78" customHeight="1" x14ac:dyDescent="0.25">
      <c r="A73" s="228"/>
      <c r="B73" s="143"/>
      <c r="C73" s="93"/>
      <c r="D73" s="110"/>
      <c r="E73" s="110"/>
      <c r="F73" s="110"/>
      <c r="G73" s="110"/>
      <c r="H73" s="110"/>
      <c r="I73" s="109"/>
      <c r="J73" s="110"/>
      <c r="K73" s="110"/>
      <c r="L73" s="110"/>
      <c r="M73" s="110"/>
      <c r="N73" s="110"/>
      <c r="O73" s="113" t="s">
        <v>483</v>
      </c>
      <c r="P73" s="113" t="s">
        <v>192</v>
      </c>
      <c r="Q73" s="112" t="s">
        <v>482</v>
      </c>
    </row>
    <row r="74" spans="1:21" s="1" customFormat="1" ht="54" customHeight="1" x14ac:dyDescent="0.25">
      <c r="A74" s="228"/>
      <c r="B74" s="171" t="s">
        <v>45</v>
      </c>
      <c r="C74" s="93"/>
      <c r="D74" s="110"/>
      <c r="E74" s="110"/>
      <c r="F74" s="110"/>
      <c r="G74" s="110"/>
      <c r="H74" s="110"/>
      <c r="I74" s="109"/>
      <c r="J74" s="110"/>
      <c r="K74" s="110"/>
      <c r="L74" s="110"/>
      <c r="M74" s="110"/>
      <c r="N74" s="110"/>
      <c r="O74" s="113" t="s">
        <v>19</v>
      </c>
      <c r="P74" s="113" t="s">
        <v>233</v>
      </c>
      <c r="Q74" s="112" t="s">
        <v>46</v>
      </c>
    </row>
    <row r="75" spans="1:21" s="1" customFormat="1" ht="116.25" customHeight="1" x14ac:dyDescent="0.25">
      <c r="A75" s="228"/>
      <c r="B75" s="171"/>
      <c r="C75" s="93"/>
      <c r="D75" s="110"/>
      <c r="E75" s="110"/>
      <c r="F75" s="110"/>
      <c r="G75" s="110"/>
      <c r="H75" s="110"/>
      <c r="I75" s="109"/>
      <c r="J75" s="110"/>
      <c r="K75" s="110"/>
      <c r="L75" s="110"/>
      <c r="M75" s="110"/>
      <c r="N75" s="110"/>
      <c r="O75" s="113" t="s">
        <v>458</v>
      </c>
      <c r="P75" s="113" t="s">
        <v>192</v>
      </c>
      <c r="Q75" s="112" t="s">
        <v>497</v>
      </c>
    </row>
    <row r="76" spans="1:21" s="1" customFormat="1" ht="54" customHeight="1" x14ac:dyDescent="0.25">
      <c r="A76" s="228"/>
      <c r="B76" s="143" t="s">
        <v>47</v>
      </c>
      <c r="C76" s="93"/>
      <c r="D76" s="110"/>
      <c r="E76" s="110"/>
      <c r="F76" s="110"/>
      <c r="G76" s="110"/>
      <c r="H76" s="110"/>
      <c r="I76" s="109"/>
      <c r="J76" s="110"/>
      <c r="K76" s="110"/>
      <c r="L76" s="110"/>
      <c r="M76" s="110"/>
      <c r="N76" s="110"/>
      <c r="O76" s="113" t="s">
        <v>19</v>
      </c>
      <c r="P76" s="113" t="s">
        <v>233</v>
      </c>
      <c r="Q76" s="112" t="s">
        <v>48</v>
      </c>
    </row>
    <row r="77" spans="1:21" s="1" customFormat="1" ht="84.75" customHeight="1" x14ac:dyDescent="0.25">
      <c r="A77" s="228"/>
      <c r="B77" s="143"/>
      <c r="C77" s="111"/>
      <c r="D77" s="110"/>
      <c r="E77" s="110"/>
      <c r="F77" s="110"/>
      <c r="G77" s="110"/>
      <c r="H77" s="110"/>
      <c r="I77" s="109"/>
      <c r="J77" s="106"/>
      <c r="K77" s="106"/>
      <c r="L77" s="106"/>
      <c r="M77" s="106"/>
      <c r="N77" s="106"/>
      <c r="O77" s="113" t="s">
        <v>458</v>
      </c>
      <c r="P77" s="113" t="s">
        <v>192</v>
      </c>
      <c r="Q77" s="112" t="s">
        <v>484</v>
      </c>
    </row>
    <row r="78" spans="1:21" s="1" customFormat="1" ht="141" customHeight="1" x14ac:dyDescent="0.3">
      <c r="A78" s="61"/>
      <c r="B78" s="93" t="s">
        <v>247</v>
      </c>
      <c r="C78" s="111"/>
      <c r="D78" s="110"/>
      <c r="E78" s="110"/>
      <c r="F78" s="110"/>
      <c r="G78" s="110"/>
      <c r="H78" s="110"/>
      <c r="I78" s="109"/>
      <c r="J78" s="110"/>
      <c r="K78" s="110"/>
      <c r="L78" s="110"/>
      <c r="M78" s="110"/>
      <c r="N78" s="110"/>
      <c r="O78" s="113" t="s">
        <v>284</v>
      </c>
      <c r="P78" s="192" t="s">
        <v>192</v>
      </c>
      <c r="Q78" s="112" t="s">
        <v>325</v>
      </c>
    </row>
    <row r="79" spans="1:21" s="1" customFormat="1" ht="180.75" customHeight="1" x14ac:dyDescent="0.25">
      <c r="A79" s="228"/>
      <c r="B79" s="143" t="s">
        <v>239</v>
      </c>
      <c r="C79" s="111"/>
      <c r="D79" s="106">
        <v>4648.1000000000004</v>
      </c>
      <c r="E79" s="110"/>
      <c r="F79" s="110"/>
      <c r="G79" s="110"/>
      <c r="H79" s="110">
        <v>4648.1000000000004</v>
      </c>
      <c r="I79" s="109"/>
      <c r="J79" s="110"/>
      <c r="K79" s="110"/>
      <c r="L79" s="110"/>
      <c r="M79" s="110"/>
      <c r="N79" s="110"/>
      <c r="O79" s="113" t="s">
        <v>270</v>
      </c>
      <c r="P79" s="192"/>
      <c r="Q79" s="112" t="s">
        <v>409</v>
      </c>
    </row>
    <row r="80" spans="1:21" s="1" customFormat="1" ht="180.75" customHeight="1" x14ac:dyDescent="0.25">
      <c r="A80" s="228"/>
      <c r="B80" s="143"/>
      <c r="C80" s="111"/>
      <c r="D80" s="110"/>
      <c r="E80" s="110"/>
      <c r="F80" s="110"/>
      <c r="G80" s="110"/>
      <c r="H80" s="110"/>
      <c r="I80" s="109"/>
      <c r="J80" s="110"/>
      <c r="K80" s="110"/>
      <c r="L80" s="110"/>
      <c r="M80" s="110"/>
      <c r="N80" s="110"/>
      <c r="O80" s="113" t="s">
        <v>283</v>
      </c>
      <c r="P80" s="192"/>
      <c r="Q80" s="112" t="s">
        <v>402</v>
      </c>
    </row>
    <row r="81" spans="1:18" s="1" customFormat="1" ht="139.5" customHeight="1" x14ac:dyDescent="0.25">
      <c r="A81" s="228"/>
      <c r="B81" s="143"/>
      <c r="C81" s="111"/>
      <c r="D81" s="110"/>
      <c r="E81" s="110"/>
      <c r="F81" s="110"/>
      <c r="G81" s="110"/>
      <c r="H81" s="110"/>
      <c r="I81" s="109"/>
      <c r="J81" s="110"/>
      <c r="K81" s="110"/>
      <c r="L81" s="110"/>
      <c r="M81" s="110"/>
      <c r="N81" s="110"/>
      <c r="O81" s="113" t="s">
        <v>459</v>
      </c>
      <c r="P81" s="192"/>
      <c r="Q81" s="112" t="s">
        <v>498</v>
      </c>
    </row>
    <row r="82" spans="1:18" s="1" customFormat="1" ht="156.75" customHeight="1" x14ac:dyDescent="0.3">
      <c r="A82" s="61"/>
      <c r="B82" s="93" t="s">
        <v>243</v>
      </c>
      <c r="C82" s="111"/>
      <c r="D82" s="106"/>
      <c r="E82" s="106"/>
      <c r="F82" s="106"/>
      <c r="G82" s="106"/>
      <c r="H82" s="106"/>
      <c r="I82" s="114"/>
      <c r="J82" s="106"/>
      <c r="K82" s="106"/>
      <c r="L82" s="106"/>
      <c r="M82" s="106"/>
      <c r="N82" s="106"/>
      <c r="O82" s="113" t="s">
        <v>463</v>
      </c>
      <c r="P82" s="113" t="s">
        <v>244</v>
      </c>
      <c r="Q82" s="112" t="s">
        <v>245</v>
      </c>
    </row>
    <row r="83" spans="1:18" s="1" customFormat="1" ht="162" customHeight="1" x14ac:dyDescent="0.3">
      <c r="A83" s="61"/>
      <c r="B83" s="93" t="s">
        <v>242</v>
      </c>
      <c r="C83" s="111"/>
      <c r="D83" s="106">
        <f>SUM(E83:J83)</f>
        <v>307</v>
      </c>
      <c r="E83" s="110"/>
      <c r="F83" s="110"/>
      <c r="G83" s="110"/>
      <c r="H83" s="110">
        <v>307</v>
      </c>
      <c r="I83" s="109"/>
      <c r="J83" s="110"/>
      <c r="K83" s="110"/>
      <c r="L83" s="110"/>
      <c r="M83" s="110"/>
      <c r="N83" s="110"/>
      <c r="O83" s="111" t="s">
        <v>319</v>
      </c>
      <c r="P83" s="111" t="s">
        <v>192</v>
      </c>
      <c r="Q83" s="93" t="s">
        <v>367</v>
      </c>
    </row>
    <row r="84" spans="1:18" s="1" customFormat="1" ht="117.75" customHeight="1" x14ac:dyDescent="0.3">
      <c r="A84" s="61"/>
      <c r="B84" s="93" t="s">
        <v>363</v>
      </c>
      <c r="C84" s="111"/>
      <c r="D84" s="110"/>
      <c r="E84" s="110"/>
      <c r="F84" s="110"/>
      <c r="G84" s="110"/>
      <c r="H84" s="110"/>
      <c r="I84" s="109"/>
      <c r="J84" s="110"/>
      <c r="K84" s="110"/>
      <c r="L84" s="110"/>
      <c r="M84" s="110"/>
      <c r="N84" s="110"/>
      <c r="O84" s="111" t="s">
        <v>466</v>
      </c>
      <c r="P84" s="111" t="s">
        <v>364</v>
      </c>
      <c r="Q84" s="93" t="s">
        <v>485</v>
      </c>
    </row>
    <row r="85" spans="1:18" s="1" customFormat="1" ht="75" customHeight="1" x14ac:dyDescent="0.3">
      <c r="A85" s="61"/>
      <c r="B85" s="93" t="s">
        <v>240</v>
      </c>
      <c r="C85" s="94" t="s">
        <v>261</v>
      </c>
      <c r="D85" s="110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13" t="s">
        <v>463</v>
      </c>
      <c r="P85" s="111" t="s">
        <v>192</v>
      </c>
      <c r="Q85" s="93" t="s">
        <v>224</v>
      </c>
    </row>
    <row r="86" spans="1:18" s="1" customFormat="1" ht="87.75" customHeight="1" x14ac:dyDescent="0.3">
      <c r="A86" s="61"/>
      <c r="B86" s="112" t="s">
        <v>368</v>
      </c>
      <c r="C86" s="119" t="s">
        <v>261</v>
      </c>
      <c r="D86" s="106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3" t="s">
        <v>463</v>
      </c>
      <c r="P86" s="113" t="s">
        <v>192</v>
      </c>
      <c r="Q86" s="112" t="s">
        <v>486</v>
      </c>
    </row>
    <row r="87" spans="1:18" s="1" customFormat="1" ht="79.5" customHeight="1" x14ac:dyDescent="0.3">
      <c r="A87" s="61"/>
      <c r="B87" s="112" t="s">
        <v>313</v>
      </c>
      <c r="C87" s="119" t="s">
        <v>261</v>
      </c>
      <c r="D87" s="106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3" t="s">
        <v>268</v>
      </c>
      <c r="P87" s="113" t="s">
        <v>192</v>
      </c>
      <c r="Q87" s="112" t="s">
        <v>320</v>
      </c>
    </row>
    <row r="88" spans="1:18" s="1" customFormat="1" ht="56.25" customHeight="1" x14ac:dyDescent="0.25">
      <c r="A88" s="186" t="s">
        <v>49</v>
      </c>
      <c r="B88" s="143" t="s">
        <v>50</v>
      </c>
      <c r="C88" s="143" t="s">
        <v>261</v>
      </c>
      <c r="D88" s="114">
        <f t="shared" ref="D88:D102" si="6">SUM(E88:J88)</f>
        <v>3636.0921199999998</v>
      </c>
      <c r="E88" s="109">
        <v>3636.0921199999998</v>
      </c>
      <c r="F88" s="109">
        <v>0</v>
      </c>
      <c r="G88" s="109">
        <v>0</v>
      </c>
      <c r="H88" s="109">
        <v>0</v>
      </c>
      <c r="I88" s="109">
        <v>0</v>
      </c>
      <c r="J88" s="109"/>
      <c r="K88" s="109"/>
      <c r="L88" s="109"/>
      <c r="M88" s="109"/>
      <c r="N88" s="109"/>
      <c r="O88" s="111" t="s">
        <v>19</v>
      </c>
      <c r="P88" s="111" t="s">
        <v>233</v>
      </c>
      <c r="Q88" s="143" t="s">
        <v>51</v>
      </c>
    </row>
    <row r="89" spans="1:18" s="1" customFormat="1" ht="108" customHeight="1" x14ac:dyDescent="0.25">
      <c r="A89" s="187"/>
      <c r="B89" s="143"/>
      <c r="C89" s="143"/>
      <c r="D89" s="114">
        <f t="shared" si="6"/>
        <v>236</v>
      </c>
      <c r="E89" s="109">
        <v>236</v>
      </c>
      <c r="F89" s="109">
        <v>0</v>
      </c>
      <c r="G89" s="109">
        <v>0</v>
      </c>
      <c r="H89" s="109">
        <v>0</v>
      </c>
      <c r="I89" s="109">
        <v>0</v>
      </c>
      <c r="J89" s="109"/>
      <c r="K89" s="109"/>
      <c r="L89" s="109"/>
      <c r="M89" s="109"/>
      <c r="N89" s="109"/>
      <c r="O89" s="111" t="s">
        <v>19</v>
      </c>
      <c r="P89" s="111" t="s">
        <v>52</v>
      </c>
      <c r="Q89" s="143"/>
    </row>
    <row r="90" spans="1:18" s="1" customFormat="1" ht="84.75" customHeight="1" x14ac:dyDescent="0.25">
      <c r="A90" s="187"/>
      <c r="B90" s="143"/>
      <c r="C90" s="143"/>
      <c r="D90" s="114">
        <f t="shared" si="6"/>
        <v>12453.447</v>
      </c>
      <c r="E90" s="109">
        <v>0</v>
      </c>
      <c r="F90" s="109">
        <v>153.447</v>
      </c>
      <c r="G90" s="109">
        <v>4000</v>
      </c>
      <c r="H90" s="109">
        <v>8300</v>
      </c>
      <c r="I90" s="109">
        <v>0</v>
      </c>
      <c r="J90" s="109"/>
      <c r="K90" s="109"/>
      <c r="L90" s="20"/>
      <c r="M90" s="20"/>
      <c r="N90" s="20"/>
      <c r="O90" s="111" t="s">
        <v>285</v>
      </c>
      <c r="P90" s="111" t="s">
        <v>192</v>
      </c>
      <c r="Q90" s="143"/>
    </row>
    <row r="91" spans="1:18" s="1" customFormat="1" ht="264" customHeight="1" x14ac:dyDescent="0.25">
      <c r="A91" s="187"/>
      <c r="B91" s="143"/>
      <c r="C91" s="143"/>
      <c r="D91" s="114">
        <f>SUM(E91:N91)</f>
        <v>36689.99</v>
      </c>
      <c r="E91" s="20"/>
      <c r="F91" s="20"/>
      <c r="G91" s="20"/>
      <c r="H91" s="20"/>
      <c r="I91" s="89">
        <v>2022</v>
      </c>
      <c r="J91" s="89">
        <v>5579.83</v>
      </c>
      <c r="K91" s="127">
        <v>5088.16</v>
      </c>
      <c r="L91" s="89">
        <v>4000</v>
      </c>
      <c r="M91" s="89">
        <v>10000</v>
      </c>
      <c r="N91" s="89">
        <v>10000</v>
      </c>
      <c r="O91" s="113" t="s">
        <v>463</v>
      </c>
      <c r="P91" s="113" t="s">
        <v>256</v>
      </c>
      <c r="Q91" s="119" t="s">
        <v>499</v>
      </c>
    </row>
    <row r="92" spans="1:18" s="1" customFormat="1" ht="169.5" customHeight="1" x14ac:dyDescent="0.25">
      <c r="A92" s="187"/>
      <c r="B92" s="143"/>
      <c r="C92" s="143"/>
      <c r="D92" s="114">
        <f>SUM(E92:N92)</f>
        <v>11356.4</v>
      </c>
      <c r="E92" s="20"/>
      <c r="F92" s="20"/>
      <c r="G92" s="20"/>
      <c r="H92" s="20"/>
      <c r="I92" s="89">
        <v>1348</v>
      </c>
      <c r="J92" s="89">
        <v>2483.5</v>
      </c>
      <c r="K92" s="127">
        <v>1524.9</v>
      </c>
      <c r="L92" s="89">
        <v>2000</v>
      </c>
      <c r="M92" s="89">
        <v>2000</v>
      </c>
      <c r="N92" s="89">
        <v>2000</v>
      </c>
      <c r="O92" s="113" t="s">
        <v>463</v>
      </c>
      <c r="P92" s="113" t="s">
        <v>204</v>
      </c>
      <c r="Q92" s="119" t="s">
        <v>500</v>
      </c>
      <c r="R92" s="44">
        <f>K92+K48</f>
        <v>2872.9</v>
      </c>
    </row>
    <row r="93" spans="1:18" s="1" customFormat="1" ht="219.75" customHeight="1" x14ac:dyDescent="0.25">
      <c r="A93" s="188"/>
      <c r="B93" s="143"/>
      <c r="C93" s="143"/>
      <c r="D93" s="114">
        <f>SUM(E93:N93)</f>
        <v>29513.559999999998</v>
      </c>
      <c r="E93" s="20"/>
      <c r="F93" s="20"/>
      <c r="G93" s="20"/>
      <c r="H93" s="20"/>
      <c r="I93" s="89">
        <v>2022.1</v>
      </c>
      <c r="J93" s="89">
        <v>1291.52</v>
      </c>
      <c r="K93" s="127">
        <v>2199.94</v>
      </c>
      <c r="L93" s="89">
        <v>4000</v>
      </c>
      <c r="M93" s="89">
        <v>10000</v>
      </c>
      <c r="N93" s="89">
        <v>10000</v>
      </c>
      <c r="O93" s="111" t="s">
        <v>463</v>
      </c>
      <c r="P93" s="113" t="s">
        <v>255</v>
      </c>
      <c r="Q93" s="119" t="s">
        <v>477</v>
      </c>
    </row>
    <row r="94" spans="1:18" s="1" customFormat="1" ht="87.75" customHeight="1" x14ac:dyDescent="0.25">
      <c r="A94" s="181" t="s">
        <v>53</v>
      </c>
      <c r="B94" s="171" t="s">
        <v>54</v>
      </c>
      <c r="C94" s="143" t="s">
        <v>261</v>
      </c>
      <c r="D94" s="114">
        <f t="shared" si="6"/>
        <v>2701.3540000000003</v>
      </c>
      <c r="E94" s="109">
        <f>1293.5+1407.854</f>
        <v>2701.3540000000003</v>
      </c>
      <c r="F94" s="109">
        <v>0</v>
      </c>
      <c r="G94" s="109">
        <v>0</v>
      </c>
      <c r="H94" s="109">
        <v>0</v>
      </c>
      <c r="I94" s="109">
        <v>0</v>
      </c>
      <c r="J94" s="109">
        <v>0</v>
      </c>
      <c r="K94" s="114"/>
      <c r="L94" s="109"/>
      <c r="M94" s="109"/>
      <c r="N94" s="109"/>
      <c r="O94" s="113" t="s">
        <v>19</v>
      </c>
      <c r="P94" s="113" t="s">
        <v>233</v>
      </c>
      <c r="Q94" s="182" t="s">
        <v>460</v>
      </c>
    </row>
    <row r="95" spans="1:18" s="1" customFormat="1" ht="56.25" x14ac:dyDescent="0.25">
      <c r="A95" s="181"/>
      <c r="B95" s="171"/>
      <c r="C95" s="143"/>
      <c r="D95" s="114">
        <f>SUM(E95:N95)</f>
        <v>74699.850000000006</v>
      </c>
      <c r="E95" s="109">
        <v>0</v>
      </c>
      <c r="F95" s="109">
        <v>3503.6</v>
      </c>
      <c r="G95" s="109">
        <v>3423.5</v>
      </c>
      <c r="H95" s="109">
        <v>6000</v>
      </c>
      <c r="I95" s="89">
        <v>7919.37</v>
      </c>
      <c r="J95" s="109">
        <v>10469.780000000001</v>
      </c>
      <c r="K95" s="114">
        <v>10539.9</v>
      </c>
      <c r="L95" s="109">
        <v>10947.9</v>
      </c>
      <c r="M95" s="109">
        <v>10947.9</v>
      </c>
      <c r="N95" s="109">
        <v>10947.9</v>
      </c>
      <c r="O95" s="113" t="s">
        <v>458</v>
      </c>
      <c r="P95" s="113" t="s">
        <v>192</v>
      </c>
      <c r="Q95" s="182"/>
    </row>
    <row r="96" spans="1:18" s="1" customFormat="1" ht="76.5" customHeight="1" x14ac:dyDescent="0.25">
      <c r="A96" s="186" t="s">
        <v>55</v>
      </c>
      <c r="B96" s="189" t="s">
        <v>56</v>
      </c>
      <c r="C96" s="143" t="s">
        <v>57</v>
      </c>
      <c r="D96" s="114">
        <f t="shared" si="6"/>
        <v>8115.9572499999995</v>
      </c>
      <c r="E96" s="114">
        <v>7818.6239999999998</v>
      </c>
      <c r="F96" s="114">
        <v>297.33325000000002</v>
      </c>
      <c r="G96" s="114">
        <v>0</v>
      </c>
      <c r="H96" s="114">
        <v>0</v>
      </c>
      <c r="I96" s="114">
        <v>0</v>
      </c>
      <c r="J96" s="114"/>
      <c r="K96" s="114"/>
      <c r="L96" s="114"/>
      <c r="M96" s="114"/>
      <c r="N96" s="114"/>
      <c r="O96" s="113" t="s">
        <v>282</v>
      </c>
      <c r="P96" s="113" t="s">
        <v>233</v>
      </c>
      <c r="Q96" s="119" t="s">
        <v>58</v>
      </c>
    </row>
    <row r="97" spans="1:19" s="1" customFormat="1" ht="100.5" customHeight="1" x14ac:dyDescent="0.25">
      <c r="A97" s="187"/>
      <c r="B97" s="190"/>
      <c r="C97" s="143"/>
      <c r="D97" s="114">
        <f t="shared" si="6"/>
        <v>30544.218410000001</v>
      </c>
      <c r="E97" s="114">
        <v>0</v>
      </c>
      <c r="F97" s="114">
        <v>8006.5184099999997</v>
      </c>
      <c r="G97" s="114">
        <v>11316.2</v>
      </c>
      <c r="H97" s="114">
        <v>11221.5</v>
      </c>
      <c r="I97" s="114">
        <v>0</v>
      </c>
      <c r="J97" s="114"/>
      <c r="K97" s="114"/>
      <c r="L97" s="114"/>
      <c r="M97" s="114"/>
      <c r="N97" s="114"/>
      <c r="O97" s="113" t="s">
        <v>285</v>
      </c>
      <c r="P97" s="113" t="s">
        <v>192</v>
      </c>
      <c r="Q97" s="119" t="s">
        <v>290</v>
      </c>
    </row>
    <row r="98" spans="1:19" s="1" customFormat="1" ht="136.5" customHeight="1" x14ac:dyDescent="0.25">
      <c r="A98" s="187"/>
      <c r="B98" s="190"/>
      <c r="C98" s="143"/>
      <c r="D98" s="127">
        <f>SUM(E98:N98)</f>
        <v>49236.83</v>
      </c>
      <c r="E98" s="109"/>
      <c r="F98" s="109"/>
      <c r="G98" s="109"/>
      <c r="H98" s="109"/>
      <c r="I98" s="89">
        <v>8971.7999999999993</v>
      </c>
      <c r="J98" s="89">
        <v>8665.65</v>
      </c>
      <c r="K98" s="127">
        <v>8057.6</v>
      </c>
      <c r="L98" s="89">
        <v>7847.26</v>
      </c>
      <c r="M98" s="89">
        <v>7847.26</v>
      </c>
      <c r="N98" s="89">
        <v>7847.26</v>
      </c>
      <c r="O98" s="113" t="s">
        <v>463</v>
      </c>
      <c r="P98" s="113" t="s">
        <v>254</v>
      </c>
      <c r="Q98" s="119" t="s">
        <v>465</v>
      </c>
      <c r="R98" s="44">
        <f>K98+K177+K317+K321+K325</f>
        <v>14243.74</v>
      </c>
    </row>
    <row r="99" spans="1:19" s="1" customFormat="1" ht="104.25" customHeight="1" x14ac:dyDescent="0.25">
      <c r="A99" s="187"/>
      <c r="B99" s="190"/>
      <c r="C99" s="143"/>
      <c r="D99" s="127">
        <f>SUM(E99:N99)</f>
        <v>41637.29</v>
      </c>
      <c r="E99" s="89"/>
      <c r="F99" s="20"/>
      <c r="G99" s="20"/>
      <c r="H99" s="20"/>
      <c r="I99" s="89">
        <v>7589.79</v>
      </c>
      <c r="J99" s="89">
        <v>7330.8</v>
      </c>
      <c r="K99" s="127">
        <v>6816.5</v>
      </c>
      <c r="L99" s="89">
        <v>6633.4</v>
      </c>
      <c r="M99" s="89">
        <v>6633.4</v>
      </c>
      <c r="N99" s="89">
        <v>6633.4</v>
      </c>
      <c r="O99" s="113" t="s">
        <v>463</v>
      </c>
      <c r="P99" s="113" t="s">
        <v>204</v>
      </c>
      <c r="Q99" s="119" t="s">
        <v>472</v>
      </c>
      <c r="R99" s="44"/>
      <c r="S99" s="44"/>
    </row>
    <row r="100" spans="1:19" s="1" customFormat="1" ht="139.5" customHeight="1" x14ac:dyDescent="0.25">
      <c r="A100" s="188"/>
      <c r="B100" s="191"/>
      <c r="C100" s="143"/>
      <c r="D100" s="127">
        <f>SUM(E100:N100)</f>
        <v>16499.71</v>
      </c>
      <c r="E100" s="20"/>
      <c r="F100" s="20"/>
      <c r="G100" s="20"/>
      <c r="H100" s="20"/>
      <c r="I100" s="89">
        <v>3096</v>
      </c>
      <c r="J100" s="89">
        <v>2893.76</v>
      </c>
      <c r="K100" s="127">
        <v>2662.7</v>
      </c>
      <c r="L100" s="89">
        <v>2615.75</v>
      </c>
      <c r="M100" s="89">
        <v>2615.75</v>
      </c>
      <c r="N100" s="89">
        <v>2615.75</v>
      </c>
      <c r="O100" s="113" t="s">
        <v>463</v>
      </c>
      <c r="P100" s="113" t="s">
        <v>255</v>
      </c>
      <c r="Q100" s="119" t="s">
        <v>475</v>
      </c>
      <c r="R100" s="44"/>
    </row>
    <row r="101" spans="1:19" s="1" customFormat="1" ht="50.25" customHeight="1" x14ac:dyDescent="0.25">
      <c r="A101" s="183" t="s">
        <v>59</v>
      </c>
      <c r="B101" s="184" t="s">
        <v>345</v>
      </c>
      <c r="C101" s="184" t="s">
        <v>262</v>
      </c>
      <c r="D101" s="114">
        <f t="shared" si="6"/>
        <v>1255.6795299999999</v>
      </c>
      <c r="E101" s="114">
        <f>188.263+1067.41653</f>
        <v>1255.6795299999999</v>
      </c>
      <c r="F101" s="114">
        <v>0</v>
      </c>
      <c r="G101" s="114">
        <v>0</v>
      </c>
      <c r="H101" s="114">
        <v>0</v>
      </c>
      <c r="I101" s="114">
        <v>0</v>
      </c>
      <c r="J101" s="114"/>
      <c r="K101" s="114"/>
      <c r="L101" s="114"/>
      <c r="M101" s="114"/>
      <c r="N101" s="114"/>
      <c r="O101" s="113" t="s">
        <v>19</v>
      </c>
      <c r="P101" s="113" t="s">
        <v>229</v>
      </c>
      <c r="Q101" s="182" t="s">
        <v>349</v>
      </c>
    </row>
    <row r="102" spans="1:19" s="1" customFormat="1" ht="74.25" customHeight="1" x14ac:dyDescent="0.25">
      <c r="A102" s="183"/>
      <c r="B102" s="184"/>
      <c r="C102" s="184"/>
      <c r="D102" s="114">
        <f t="shared" si="6"/>
        <v>13366.21</v>
      </c>
      <c r="E102" s="114">
        <v>0</v>
      </c>
      <c r="F102" s="114">
        <v>3500</v>
      </c>
      <c r="G102" s="114">
        <v>3368.7</v>
      </c>
      <c r="H102" s="114">
        <v>2769.6</v>
      </c>
      <c r="I102" s="114">
        <v>3727.91</v>
      </c>
      <c r="J102" s="114"/>
      <c r="K102" s="114"/>
      <c r="L102" s="114"/>
      <c r="M102" s="114"/>
      <c r="N102" s="114"/>
      <c r="O102" s="113" t="s">
        <v>317</v>
      </c>
      <c r="P102" s="113" t="s">
        <v>192</v>
      </c>
      <c r="Q102" s="182"/>
    </row>
    <row r="103" spans="1:19" s="1" customFormat="1" ht="131.25" customHeight="1" x14ac:dyDescent="0.25">
      <c r="A103" s="183"/>
      <c r="B103" s="94" t="s">
        <v>316</v>
      </c>
      <c r="C103" s="94" t="s">
        <v>261</v>
      </c>
      <c r="D103" s="114">
        <f>J103+K103+L103+M103+N103</f>
        <v>8394.52</v>
      </c>
      <c r="E103" s="109"/>
      <c r="F103" s="109"/>
      <c r="G103" s="109"/>
      <c r="H103" s="109"/>
      <c r="I103" s="109"/>
      <c r="J103" s="109">
        <v>4474.72</v>
      </c>
      <c r="K103" s="114">
        <v>3919.8</v>
      </c>
      <c r="L103" s="109">
        <v>0</v>
      </c>
      <c r="M103" s="109">
        <v>0</v>
      </c>
      <c r="N103" s="109">
        <v>0</v>
      </c>
      <c r="O103" s="111" t="s">
        <v>487</v>
      </c>
      <c r="P103" s="111" t="s">
        <v>192</v>
      </c>
      <c r="Q103" s="93" t="s">
        <v>348</v>
      </c>
    </row>
    <row r="104" spans="1:19" s="1" customFormat="1" ht="163.5" customHeight="1" x14ac:dyDescent="0.25">
      <c r="A104" s="183"/>
      <c r="B104" s="94" t="s">
        <v>450</v>
      </c>
      <c r="C104" s="94" t="s">
        <v>261</v>
      </c>
      <c r="D104" s="114">
        <f>L104+M104+N104</f>
        <v>24833.100000000002</v>
      </c>
      <c r="E104" s="109"/>
      <c r="F104" s="109"/>
      <c r="G104" s="109"/>
      <c r="H104" s="109"/>
      <c r="I104" s="109"/>
      <c r="J104" s="109"/>
      <c r="K104" s="114"/>
      <c r="L104" s="109">
        <v>8277.7000000000007</v>
      </c>
      <c r="M104" s="109">
        <v>8277.7000000000007</v>
      </c>
      <c r="N104" s="109">
        <v>8277.7000000000007</v>
      </c>
      <c r="O104" s="111" t="s">
        <v>461</v>
      </c>
      <c r="P104" s="111" t="s">
        <v>192</v>
      </c>
      <c r="Q104" s="93" t="s">
        <v>495</v>
      </c>
    </row>
    <row r="105" spans="1:19" s="1" customFormat="1" ht="56.25" customHeight="1" x14ac:dyDescent="0.25">
      <c r="A105" s="181" t="s">
        <v>60</v>
      </c>
      <c r="B105" s="171" t="s">
        <v>61</v>
      </c>
      <c r="C105" s="143" t="s">
        <v>263</v>
      </c>
      <c r="D105" s="114">
        <f>SUM(E105:J105)</f>
        <v>6865.0129100000004</v>
      </c>
      <c r="E105" s="109">
        <v>5192.0842400000001</v>
      </c>
      <c r="F105" s="109">
        <v>1672.92867</v>
      </c>
      <c r="G105" s="109">
        <v>0</v>
      </c>
      <c r="H105" s="109">
        <v>0</v>
      </c>
      <c r="I105" s="109">
        <v>0</v>
      </c>
      <c r="J105" s="109"/>
      <c r="K105" s="114"/>
      <c r="L105" s="114"/>
      <c r="M105" s="114"/>
      <c r="N105" s="114"/>
      <c r="O105" s="113" t="s">
        <v>282</v>
      </c>
      <c r="P105" s="113" t="s">
        <v>229</v>
      </c>
      <c r="Q105" s="182" t="s">
        <v>488</v>
      </c>
    </row>
    <row r="106" spans="1:19" s="1" customFormat="1" ht="84" customHeight="1" x14ac:dyDescent="0.25">
      <c r="A106" s="181"/>
      <c r="B106" s="171"/>
      <c r="C106" s="143"/>
      <c r="D106" s="114">
        <f>SUM(E106:N106)</f>
        <v>140134.20224000001</v>
      </c>
      <c r="E106" s="109">
        <v>0</v>
      </c>
      <c r="F106" s="109">
        <v>6559.1622399999997</v>
      </c>
      <c r="G106" s="109">
        <v>10763.7</v>
      </c>
      <c r="H106" s="109">
        <v>6000</v>
      </c>
      <c r="I106" s="109">
        <v>11990.68</v>
      </c>
      <c r="J106" s="109">
        <v>13296.86</v>
      </c>
      <c r="K106" s="114">
        <v>14579.8</v>
      </c>
      <c r="L106" s="109">
        <v>25000</v>
      </c>
      <c r="M106" s="109">
        <v>25972</v>
      </c>
      <c r="N106" s="109">
        <v>25972</v>
      </c>
      <c r="O106" s="113" t="s">
        <v>458</v>
      </c>
      <c r="P106" s="113" t="s">
        <v>192</v>
      </c>
      <c r="Q106" s="182"/>
    </row>
    <row r="107" spans="1:19" s="1" customFormat="1" ht="56.25" customHeight="1" x14ac:dyDescent="0.25">
      <c r="A107" s="181" t="s">
        <v>62</v>
      </c>
      <c r="B107" s="143" t="s">
        <v>63</v>
      </c>
      <c r="C107" s="143" t="s">
        <v>261</v>
      </c>
      <c r="D107" s="114">
        <f>SUM(E107:J107)</f>
        <v>4087.2809299999999</v>
      </c>
      <c r="E107" s="109">
        <f>523.56393+1878.961</f>
        <v>2402.52493</v>
      </c>
      <c r="F107" s="109">
        <v>1684.7560000000001</v>
      </c>
      <c r="G107" s="109">
        <v>0</v>
      </c>
      <c r="H107" s="109">
        <v>0</v>
      </c>
      <c r="I107" s="109">
        <v>0</v>
      </c>
      <c r="J107" s="109"/>
      <c r="K107" s="114"/>
      <c r="L107" s="109"/>
      <c r="M107" s="109"/>
      <c r="N107" s="109"/>
      <c r="O107" s="113" t="s">
        <v>282</v>
      </c>
      <c r="P107" s="113" t="s">
        <v>229</v>
      </c>
      <c r="Q107" s="182" t="s">
        <v>489</v>
      </c>
    </row>
    <row r="108" spans="1:19" s="1" customFormat="1" ht="72" customHeight="1" x14ac:dyDescent="0.25">
      <c r="A108" s="181"/>
      <c r="B108" s="143"/>
      <c r="C108" s="143"/>
      <c r="D108" s="114">
        <f>SUM(E108:N108)</f>
        <v>19432.14</v>
      </c>
      <c r="E108" s="109">
        <v>0</v>
      </c>
      <c r="F108" s="109">
        <v>0</v>
      </c>
      <c r="G108" s="109">
        <v>3086.1</v>
      </c>
      <c r="H108" s="109">
        <v>692.2</v>
      </c>
      <c r="I108" s="109">
        <v>2454.86</v>
      </c>
      <c r="J108" s="109">
        <v>1302.08</v>
      </c>
      <c r="K108" s="114">
        <v>1160.5</v>
      </c>
      <c r="L108" s="109">
        <v>3578.8</v>
      </c>
      <c r="M108" s="109">
        <v>3578.8</v>
      </c>
      <c r="N108" s="109">
        <v>3578.8</v>
      </c>
      <c r="O108" s="113" t="s">
        <v>454</v>
      </c>
      <c r="P108" s="113" t="s">
        <v>192</v>
      </c>
      <c r="Q108" s="182"/>
    </row>
    <row r="109" spans="1:19" s="1" customFormat="1" ht="61.5" customHeight="1" x14ac:dyDescent="0.25">
      <c r="A109" s="181" t="s">
        <v>64</v>
      </c>
      <c r="B109" s="171" t="s">
        <v>352</v>
      </c>
      <c r="C109" s="143" t="s">
        <v>261</v>
      </c>
      <c r="D109" s="185">
        <f>SUM(E109:J109)</f>
        <v>5996.4870000000001</v>
      </c>
      <c r="E109" s="163">
        <v>5497.8869999999997</v>
      </c>
      <c r="F109" s="163">
        <v>498.6</v>
      </c>
      <c r="G109" s="163">
        <v>0</v>
      </c>
      <c r="H109" s="163">
        <v>0</v>
      </c>
      <c r="I109" s="163">
        <v>0</v>
      </c>
      <c r="J109" s="163"/>
      <c r="K109" s="114"/>
      <c r="L109" s="109"/>
      <c r="M109" s="109"/>
      <c r="N109" s="109"/>
      <c r="O109" s="192" t="s">
        <v>282</v>
      </c>
      <c r="P109" s="192" t="s">
        <v>233</v>
      </c>
      <c r="Q109" s="182" t="s">
        <v>65</v>
      </c>
    </row>
    <row r="110" spans="1:19" s="1" customFormat="1" ht="1.5" hidden="1" customHeight="1" x14ac:dyDescent="0.25">
      <c r="A110" s="181"/>
      <c r="B110" s="171"/>
      <c r="C110" s="143"/>
      <c r="D110" s="185"/>
      <c r="E110" s="163"/>
      <c r="F110" s="163"/>
      <c r="G110" s="163"/>
      <c r="H110" s="163"/>
      <c r="I110" s="163"/>
      <c r="J110" s="163"/>
      <c r="K110" s="114"/>
      <c r="L110" s="109"/>
      <c r="M110" s="109"/>
      <c r="N110" s="109"/>
      <c r="O110" s="192"/>
      <c r="P110" s="192"/>
      <c r="Q110" s="182"/>
    </row>
    <row r="111" spans="1:19" s="1" customFormat="1" ht="93.75" customHeight="1" x14ac:dyDescent="0.25">
      <c r="A111" s="95" t="s">
        <v>66</v>
      </c>
      <c r="B111" s="93" t="s">
        <v>67</v>
      </c>
      <c r="C111" s="93" t="s">
        <v>261</v>
      </c>
      <c r="D111" s="114">
        <f>SUM(E111:N111)</f>
        <v>1110.9290000000001</v>
      </c>
      <c r="E111" s="109">
        <f>737.489+25</f>
        <v>762.48900000000003</v>
      </c>
      <c r="F111" s="109">
        <v>63.9</v>
      </c>
      <c r="G111" s="109">
        <v>61.5</v>
      </c>
      <c r="H111" s="109">
        <v>20.72</v>
      </c>
      <c r="I111" s="109">
        <v>25.32</v>
      </c>
      <c r="J111" s="109">
        <v>28.1</v>
      </c>
      <c r="K111" s="114">
        <v>32.5</v>
      </c>
      <c r="L111" s="109">
        <v>56.4</v>
      </c>
      <c r="M111" s="109">
        <v>30</v>
      </c>
      <c r="N111" s="109">
        <v>30</v>
      </c>
      <c r="O111" s="113" t="s">
        <v>452</v>
      </c>
      <c r="P111" s="113" t="s">
        <v>233</v>
      </c>
      <c r="Q111" s="112" t="s">
        <v>456</v>
      </c>
    </row>
    <row r="112" spans="1:19" s="1" customFormat="1" ht="37.5" customHeight="1" x14ac:dyDescent="0.25">
      <c r="A112" s="181" t="s">
        <v>68</v>
      </c>
      <c r="B112" s="143" t="s">
        <v>69</v>
      </c>
      <c r="C112" s="93" t="s">
        <v>70</v>
      </c>
      <c r="D112" s="114">
        <f>D113+D114</f>
        <v>10069.066000000001</v>
      </c>
      <c r="E112" s="109">
        <f t="shared" ref="E112:I112" si="7">E113+E114</f>
        <v>10069.066000000001</v>
      </c>
      <c r="F112" s="109">
        <f t="shared" si="7"/>
        <v>0</v>
      </c>
      <c r="G112" s="109">
        <f t="shared" si="7"/>
        <v>0</v>
      </c>
      <c r="H112" s="109">
        <f t="shared" si="7"/>
        <v>0</v>
      </c>
      <c r="I112" s="109">
        <f t="shared" si="7"/>
        <v>0</v>
      </c>
      <c r="J112" s="109"/>
      <c r="K112" s="109"/>
      <c r="L112" s="109"/>
      <c r="M112" s="109"/>
      <c r="N112" s="109"/>
      <c r="O112" s="156" t="s">
        <v>282</v>
      </c>
      <c r="P112" s="156" t="s">
        <v>233</v>
      </c>
      <c r="Q112" s="171" t="s">
        <v>71</v>
      </c>
    </row>
    <row r="113" spans="1:17" s="1" customFormat="1" ht="63" customHeight="1" x14ac:dyDescent="0.25">
      <c r="A113" s="181"/>
      <c r="B113" s="143"/>
      <c r="C113" s="93" t="s">
        <v>261</v>
      </c>
      <c r="D113" s="114">
        <f>SUM(E113:J113)</f>
        <v>110.09100000000001</v>
      </c>
      <c r="E113" s="109">
        <f>50+50.091+10</f>
        <v>110.09100000000001</v>
      </c>
      <c r="F113" s="109">
        <v>0</v>
      </c>
      <c r="G113" s="109">
        <v>0</v>
      </c>
      <c r="H113" s="109">
        <v>0</v>
      </c>
      <c r="I113" s="109">
        <v>0</v>
      </c>
      <c r="J113" s="109"/>
      <c r="K113" s="109"/>
      <c r="L113" s="109"/>
      <c r="M113" s="109"/>
      <c r="N113" s="109"/>
      <c r="O113" s="156"/>
      <c r="P113" s="156"/>
      <c r="Q113" s="171"/>
    </row>
    <row r="114" spans="1:17" s="1" customFormat="1" ht="72.75" customHeight="1" x14ac:dyDescent="0.25">
      <c r="A114" s="181"/>
      <c r="B114" s="143"/>
      <c r="C114" s="93" t="s">
        <v>72</v>
      </c>
      <c r="D114" s="114">
        <f>SUM(E114:J114)</f>
        <v>9958.9750000000004</v>
      </c>
      <c r="E114" s="109">
        <f>5000+4958.975</f>
        <v>9958.9750000000004</v>
      </c>
      <c r="F114" s="109">
        <v>0</v>
      </c>
      <c r="G114" s="109">
        <v>0</v>
      </c>
      <c r="H114" s="109">
        <v>0</v>
      </c>
      <c r="I114" s="109">
        <v>0</v>
      </c>
      <c r="J114" s="109"/>
      <c r="K114" s="109"/>
      <c r="L114" s="109"/>
      <c r="M114" s="109"/>
      <c r="N114" s="109"/>
      <c r="O114" s="156"/>
      <c r="P114" s="156"/>
      <c r="Q114" s="171"/>
    </row>
    <row r="115" spans="1:17" s="1" customFormat="1" ht="24.75" customHeight="1" x14ac:dyDescent="0.25">
      <c r="A115" s="181"/>
      <c r="B115" s="143"/>
      <c r="C115" s="93" t="s">
        <v>70</v>
      </c>
      <c r="D115" s="114">
        <f>D116+D117</f>
        <v>5460.5010000000002</v>
      </c>
      <c r="E115" s="109">
        <f t="shared" ref="E115:I115" si="8">E116+E117</f>
        <v>0</v>
      </c>
      <c r="F115" s="109">
        <f t="shared" si="8"/>
        <v>5460.5010000000002</v>
      </c>
      <c r="G115" s="109">
        <f t="shared" si="8"/>
        <v>0</v>
      </c>
      <c r="H115" s="109">
        <f t="shared" si="8"/>
        <v>0</v>
      </c>
      <c r="I115" s="109">
        <f t="shared" si="8"/>
        <v>0</v>
      </c>
      <c r="J115" s="163"/>
      <c r="K115" s="201"/>
      <c r="L115" s="201"/>
      <c r="M115" s="201"/>
      <c r="N115" s="201"/>
      <c r="O115" s="156" t="s">
        <v>269</v>
      </c>
      <c r="P115" s="156" t="s">
        <v>192</v>
      </c>
      <c r="Q115" s="143" t="s">
        <v>73</v>
      </c>
    </row>
    <row r="116" spans="1:17" s="1" customFormat="1" ht="70.5" customHeight="1" x14ac:dyDescent="0.25">
      <c r="A116" s="181"/>
      <c r="B116" s="143"/>
      <c r="C116" s="93" t="s">
        <v>261</v>
      </c>
      <c r="D116" s="114">
        <f>SUM(E116:J116)</f>
        <v>54.56</v>
      </c>
      <c r="E116" s="109">
        <v>0</v>
      </c>
      <c r="F116" s="109">
        <v>54.56</v>
      </c>
      <c r="G116" s="109">
        <v>0</v>
      </c>
      <c r="H116" s="109">
        <v>0</v>
      </c>
      <c r="I116" s="109">
        <v>0</v>
      </c>
      <c r="J116" s="163"/>
      <c r="K116" s="201"/>
      <c r="L116" s="201"/>
      <c r="M116" s="201"/>
      <c r="N116" s="201"/>
      <c r="O116" s="156"/>
      <c r="P116" s="156"/>
      <c r="Q116" s="143"/>
    </row>
    <row r="117" spans="1:17" s="1" customFormat="1" ht="78" customHeight="1" x14ac:dyDescent="0.25">
      <c r="A117" s="181"/>
      <c r="B117" s="143"/>
      <c r="C117" s="93" t="s">
        <v>72</v>
      </c>
      <c r="D117" s="114">
        <f>SUM(E117:J117)</f>
        <v>5405.9409999999998</v>
      </c>
      <c r="E117" s="109">
        <v>0</v>
      </c>
      <c r="F117" s="109">
        <v>5405.9409999999998</v>
      </c>
      <c r="G117" s="109">
        <v>0</v>
      </c>
      <c r="H117" s="109">
        <v>0</v>
      </c>
      <c r="I117" s="109">
        <v>0</v>
      </c>
      <c r="J117" s="109"/>
      <c r="K117" s="20"/>
      <c r="L117" s="20"/>
      <c r="M117" s="20"/>
      <c r="N117" s="20"/>
      <c r="O117" s="93"/>
      <c r="P117" s="93"/>
      <c r="Q117" s="93"/>
    </row>
    <row r="118" spans="1:17" s="1" customFormat="1" ht="56.25" customHeight="1" x14ac:dyDescent="0.25">
      <c r="A118" s="181" t="str">
        <f>'[1]Лист 1'!A91</f>
        <v>1.2.17</v>
      </c>
      <c r="B118" s="184" t="s">
        <v>190</v>
      </c>
      <c r="C118" s="184" t="s">
        <v>261</v>
      </c>
      <c r="D118" s="185">
        <f>SUM(E119:J119)</f>
        <v>0</v>
      </c>
      <c r="E118" s="185">
        <v>0</v>
      </c>
      <c r="F118" s="185">
        <v>0</v>
      </c>
      <c r="G118" s="185">
        <v>0</v>
      </c>
      <c r="H118" s="185">
        <v>0</v>
      </c>
      <c r="I118" s="185">
        <v>0</v>
      </c>
      <c r="J118" s="185"/>
      <c r="K118" s="193"/>
      <c r="L118" s="193"/>
      <c r="M118" s="194"/>
      <c r="N118" s="194"/>
      <c r="O118" s="192" t="s">
        <v>285</v>
      </c>
      <c r="P118" s="192" t="s">
        <v>192</v>
      </c>
      <c r="Q118" s="198" t="s">
        <v>323</v>
      </c>
    </row>
    <row r="119" spans="1:17" s="1" customFormat="1" ht="24" customHeight="1" x14ac:dyDescent="0.25">
      <c r="A119" s="181"/>
      <c r="B119" s="184"/>
      <c r="C119" s="184"/>
      <c r="D119" s="185"/>
      <c r="E119" s="185"/>
      <c r="F119" s="185"/>
      <c r="G119" s="185"/>
      <c r="H119" s="185"/>
      <c r="I119" s="185"/>
      <c r="J119" s="185"/>
      <c r="K119" s="193"/>
      <c r="L119" s="193"/>
      <c r="M119" s="195"/>
      <c r="N119" s="195"/>
      <c r="O119" s="192"/>
      <c r="P119" s="192"/>
      <c r="Q119" s="198"/>
    </row>
    <row r="120" spans="1:17" s="1" customFormat="1" ht="72.75" customHeight="1" x14ac:dyDescent="0.25">
      <c r="A120" s="181"/>
      <c r="B120" s="184"/>
      <c r="C120" s="119" t="s">
        <v>261</v>
      </c>
      <c r="D120" s="114">
        <f>I120+J120</f>
        <v>0</v>
      </c>
      <c r="E120" s="114"/>
      <c r="F120" s="114"/>
      <c r="G120" s="114"/>
      <c r="H120" s="114"/>
      <c r="I120" s="114">
        <v>0</v>
      </c>
      <c r="J120" s="114">
        <v>0</v>
      </c>
      <c r="K120" s="109">
        <v>0</v>
      </c>
      <c r="L120" s="109">
        <v>0</v>
      </c>
      <c r="M120" s="109">
        <v>0</v>
      </c>
      <c r="N120" s="114">
        <v>0</v>
      </c>
      <c r="O120" s="113" t="s">
        <v>463</v>
      </c>
      <c r="P120" s="113" t="s">
        <v>233</v>
      </c>
      <c r="Q120" s="132" t="s">
        <v>502</v>
      </c>
    </row>
    <row r="121" spans="1:17" s="1" customFormat="1" ht="65.25" customHeight="1" x14ac:dyDescent="0.25">
      <c r="A121" s="181"/>
      <c r="B121" s="184"/>
      <c r="C121" s="119" t="s">
        <v>261</v>
      </c>
      <c r="D121" s="114">
        <f>SUM(E121:J121)</f>
        <v>378.54</v>
      </c>
      <c r="E121" s="114"/>
      <c r="F121" s="114"/>
      <c r="G121" s="114"/>
      <c r="H121" s="114"/>
      <c r="I121" s="114">
        <v>378.54</v>
      </c>
      <c r="J121" s="114"/>
      <c r="K121" s="45"/>
      <c r="L121" s="45"/>
      <c r="M121" s="45"/>
      <c r="N121" s="45"/>
      <c r="O121" s="113" t="s">
        <v>308</v>
      </c>
      <c r="P121" s="113" t="s">
        <v>192</v>
      </c>
      <c r="Q121" s="132" t="s">
        <v>300</v>
      </c>
    </row>
    <row r="122" spans="1:17" s="1" customFormat="1" ht="36" customHeight="1" x14ac:dyDescent="0.25">
      <c r="A122" s="181" t="str">
        <f>'[1]Лист 1'!A97</f>
        <v>1.2.18</v>
      </c>
      <c r="B122" s="143" t="s">
        <v>237</v>
      </c>
      <c r="C122" s="93" t="s">
        <v>70</v>
      </c>
      <c r="D122" s="114">
        <f>D123+D124+D125+D126</f>
        <v>24518.100000000002</v>
      </c>
      <c r="E122" s="109">
        <f t="shared" ref="E122:I122" si="9">E123+E124+E125</f>
        <v>0</v>
      </c>
      <c r="F122" s="109">
        <f t="shared" si="9"/>
        <v>0</v>
      </c>
      <c r="G122" s="109">
        <f t="shared" si="9"/>
        <v>3635.8</v>
      </c>
      <c r="H122" s="109">
        <f t="shared" si="9"/>
        <v>20882.300000000003</v>
      </c>
      <c r="I122" s="109">
        <f t="shared" si="9"/>
        <v>0</v>
      </c>
      <c r="J122" s="109"/>
      <c r="K122" s="20"/>
      <c r="L122" s="20"/>
      <c r="M122" s="20"/>
      <c r="N122" s="20"/>
      <c r="O122" s="156" t="s">
        <v>286</v>
      </c>
      <c r="P122" s="172" t="s">
        <v>192</v>
      </c>
      <c r="Q122" s="184" t="s">
        <v>343</v>
      </c>
    </row>
    <row r="123" spans="1:17" s="1" customFormat="1" ht="63.75" customHeight="1" x14ac:dyDescent="0.25">
      <c r="A123" s="181"/>
      <c r="B123" s="143"/>
      <c r="C123" s="93" t="s">
        <v>261</v>
      </c>
      <c r="D123" s="114">
        <f>SUM(E123:J123)</f>
        <v>1783.1</v>
      </c>
      <c r="E123" s="109">
        <v>0</v>
      </c>
      <c r="F123" s="109">
        <v>0</v>
      </c>
      <c r="G123" s="109">
        <v>315</v>
      </c>
      <c r="H123" s="109">
        <v>1468.1</v>
      </c>
      <c r="I123" s="109">
        <v>0</v>
      </c>
      <c r="J123" s="109"/>
      <c r="K123" s="20"/>
      <c r="L123" s="20"/>
      <c r="M123" s="20"/>
      <c r="N123" s="20"/>
      <c r="O123" s="156"/>
      <c r="P123" s="172"/>
      <c r="Q123" s="184"/>
    </row>
    <row r="124" spans="1:17" s="1" customFormat="1" ht="60" customHeight="1" x14ac:dyDescent="0.25">
      <c r="A124" s="181"/>
      <c r="B124" s="143"/>
      <c r="C124" s="93" t="s">
        <v>18</v>
      </c>
      <c r="D124" s="114">
        <f>SUM(E124:J124)</f>
        <v>449.70000000000005</v>
      </c>
      <c r="E124" s="109">
        <v>0</v>
      </c>
      <c r="F124" s="109">
        <v>0</v>
      </c>
      <c r="G124" s="109">
        <v>66.400000000000006</v>
      </c>
      <c r="H124" s="109">
        <v>383.3</v>
      </c>
      <c r="I124" s="109">
        <v>0</v>
      </c>
      <c r="J124" s="109"/>
      <c r="K124" s="20"/>
      <c r="L124" s="20"/>
      <c r="M124" s="20"/>
      <c r="N124" s="20"/>
      <c r="O124" s="156"/>
      <c r="P124" s="172"/>
      <c r="Q124" s="184"/>
    </row>
    <row r="125" spans="1:17" s="1" customFormat="1" ht="66" customHeight="1" x14ac:dyDescent="0.25">
      <c r="A125" s="181"/>
      <c r="B125" s="143"/>
      <c r="C125" s="93" t="s">
        <v>241</v>
      </c>
      <c r="D125" s="114">
        <f>SUM(E125:J125)</f>
        <v>22285.300000000003</v>
      </c>
      <c r="E125" s="109">
        <v>0</v>
      </c>
      <c r="F125" s="109">
        <v>0</v>
      </c>
      <c r="G125" s="109">
        <v>3254.4</v>
      </c>
      <c r="H125" s="109">
        <v>19030.900000000001</v>
      </c>
      <c r="I125" s="109">
        <v>0</v>
      </c>
      <c r="J125" s="109"/>
      <c r="K125" s="20"/>
      <c r="L125" s="20"/>
      <c r="M125" s="20"/>
      <c r="N125" s="20"/>
      <c r="O125" s="156"/>
      <c r="P125" s="172"/>
      <c r="Q125" s="184"/>
    </row>
    <row r="126" spans="1:17" s="1" customFormat="1" ht="114.75" customHeight="1" x14ac:dyDescent="0.25">
      <c r="A126" s="181"/>
      <c r="B126" s="143"/>
      <c r="C126" s="93" t="s">
        <v>261</v>
      </c>
      <c r="D126" s="109">
        <f>E126+F126+G126+H126+I126+J126</f>
        <v>0</v>
      </c>
      <c r="E126" s="109"/>
      <c r="F126" s="109"/>
      <c r="G126" s="109"/>
      <c r="H126" s="109"/>
      <c r="I126" s="109">
        <v>0</v>
      </c>
      <c r="J126" s="109"/>
      <c r="K126" s="109"/>
      <c r="L126" s="109"/>
      <c r="M126" s="109"/>
      <c r="N126" s="109"/>
      <c r="O126" s="113" t="s">
        <v>268</v>
      </c>
      <c r="P126" s="111" t="s">
        <v>233</v>
      </c>
      <c r="Q126" s="94" t="s">
        <v>366</v>
      </c>
    </row>
    <row r="127" spans="1:17" s="1" customFormat="1" ht="144" customHeight="1" x14ac:dyDescent="0.25">
      <c r="A127" s="181"/>
      <c r="B127" s="119" t="s">
        <v>365</v>
      </c>
      <c r="C127" s="112" t="s">
        <v>261</v>
      </c>
      <c r="D127" s="114"/>
      <c r="E127" s="114"/>
      <c r="F127" s="114"/>
      <c r="G127" s="114"/>
      <c r="H127" s="114"/>
      <c r="I127" s="114"/>
      <c r="J127" s="114"/>
      <c r="K127" s="114"/>
      <c r="L127" s="114"/>
      <c r="M127" s="114"/>
      <c r="N127" s="114"/>
      <c r="O127" s="113" t="s">
        <v>466</v>
      </c>
      <c r="P127" s="113" t="s">
        <v>233</v>
      </c>
      <c r="Q127" s="119" t="s">
        <v>503</v>
      </c>
    </row>
    <row r="128" spans="1:17" s="1" customFormat="1" ht="72" customHeight="1" x14ac:dyDescent="0.25">
      <c r="A128" s="181" t="s">
        <v>203</v>
      </c>
      <c r="B128" s="143" t="s">
        <v>205</v>
      </c>
      <c r="C128" s="112" t="s">
        <v>261</v>
      </c>
      <c r="D128" s="114">
        <v>35.1</v>
      </c>
      <c r="E128" s="114">
        <v>0</v>
      </c>
      <c r="F128" s="114">
        <v>0</v>
      </c>
      <c r="G128" s="114" t="s">
        <v>230</v>
      </c>
      <c r="H128" s="114">
        <v>35.1</v>
      </c>
      <c r="I128" s="114">
        <v>0</v>
      </c>
      <c r="J128" s="114"/>
      <c r="K128" s="114"/>
      <c r="L128" s="114"/>
      <c r="M128" s="114"/>
      <c r="N128" s="114"/>
      <c r="O128" s="113" t="s">
        <v>270</v>
      </c>
      <c r="P128" s="113" t="s">
        <v>204</v>
      </c>
      <c r="Q128" s="119" t="s">
        <v>278</v>
      </c>
    </row>
    <row r="129" spans="1:19" s="1" customFormat="1" ht="90.75" customHeight="1" x14ac:dyDescent="0.25">
      <c r="A129" s="181"/>
      <c r="B129" s="143"/>
      <c r="C129" s="112" t="s">
        <v>261</v>
      </c>
      <c r="D129" s="114">
        <f>J129+K129+L129+M129+N129</f>
        <v>24425.45</v>
      </c>
      <c r="E129" s="109"/>
      <c r="F129" s="109"/>
      <c r="G129" s="109"/>
      <c r="H129" s="109"/>
      <c r="I129" s="109"/>
      <c r="J129" s="109">
        <v>0</v>
      </c>
      <c r="K129" s="114">
        <v>325.45</v>
      </c>
      <c r="L129" s="114">
        <v>4100</v>
      </c>
      <c r="M129" s="114">
        <v>10000</v>
      </c>
      <c r="N129" s="114">
        <v>10000</v>
      </c>
      <c r="O129" s="111" t="s">
        <v>466</v>
      </c>
      <c r="P129" s="111" t="s">
        <v>254</v>
      </c>
      <c r="Q129" s="94" t="s">
        <v>534</v>
      </c>
      <c r="R129" s="43">
        <f>K129+K98+K91+K47</f>
        <v>14471.2</v>
      </c>
    </row>
    <row r="130" spans="1:19" s="1" customFormat="1" ht="108.75" customHeight="1" x14ac:dyDescent="0.25">
      <c r="A130" s="181"/>
      <c r="B130" s="143"/>
      <c r="C130" s="112" t="s">
        <v>261</v>
      </c>
      <c r="D130" s="114">
        <f>I130+J130+K130+L130+M130+N130</f>
        <v>6065.34</v>
      </c>
      <c r="E130" s="109"/>
      <c r="F130" s="109"/>
      <c r="G130" s="109"/>
      <c r="H130" s="109"/>
      <c r="I130" s="109">
        <v>1000</v>
      </c>
      <c r="J130" s="109">
        <v>1378.34</v>
      </c>
      <c r="K130" s="114">
        <v>687</v>
      </c>
      <c r="L130" s="114">
        <v>1000</v>
      </c>
      <c r="M130" s="114">
        <v>1000</v>
      </c>
      <c r="N130" s="114">
        <v>1000</v>
      </c>
      <c r="O130" s="111" t="s">
        <v>463</v>
      </c>
      <c r="P130" s="111" t="s">
        <v>235</v>
      </c>
      <c r="Q130" s="94" t="s">
        <v>468</v>
      </c>
      <c r="R130" s="43">
        <f>K130+K135+K153</f>
        <v>2329.9</v>
      </c>
      <c r="S130" s="44">
        <f>L130+L135+L153</f>
        <v>2936.7</v>
      </c>
    </row>
    <row r="131" spans="1:19" s="1" customFormat="1" ht="36" customHeight="1" x14ac:dyDescent="0.25">
      <c r="A131" s="144" t="s">
        <v>220</v>
      </c>
      <c r="B131" s="145" t="s">
        <v>221</v>
      </c>
      <c r="C131" s="93" t="s">
        <v>70</v>
      </c>
      <c r="D131" s="88">
        <v>41033.699999999997</v>
      </c>
      <c r="E131" s="25"/>
      <c r="F131" s="25"/>
      <c r="G131" s="25"/>
      <c r="H131" s="25">
        <v>41033.699999999997</v>
      </c>
      <c r="I131" s="25">
        <v>0</v>
      </c>
      <c r="J131" s="25">
        <v>0</v>
      </c>
      <c r="K131" s="25"/>
      <c r="L131" s="25"/>
      <c r="M131" s="25"/>
      <c r="N131" s="25"/>
      <c r="O131" s="156" t="s">
        <v>358</v>
      </c>
      <c r="P131" s="156" t="s">
        <v>234</v>
      </c>
      <c r="Q131" s="143" t="s">
        <v>359</v>
      </c>
    </row>
    <row r="132" spans="1:19" s="1" customFormat="1" ht="59.25" customHeight="1" x14ac:dyDescent="0.25">
      <c r="A132" s="144"/>
      <c r="B132" s="145"/>
      <c r="C132" s="93" t="s">
        <v>261</v>
      </c>
      <c r="D132" s="88">
        <f>SUM(E132:J132)</f>
        <v>2940.69</v>
      </c>
      <c r="E132" s="25"/>
      <c r="F132" s="25"/>
      <c r="G132" s="25"/>
      <c r="H132" s="25">
        <v>2873.3</v>
      </c>
      <c r="I132" s="25">
        <v>0</v>
      </c>
      <c r="J132" s="25">
        <v>67.39</v>
      </c>
      <c r="K132" s="25"/>
      <c r="L132" s="25"/>
      <c r="M132" s="25"/>
      <c r="N132" s="25"/>
      <c r="O132" s="156"/>
      <c r="P132" s="156"/>
      <c r="Q132" s="143"/>
      <c r="R132" s="44"/>
    </row>
    <row r="133" spans="1:19" s="1" customFormat="1" ht="48" customHeight="1" x14ac:dyDescent="0.25">
      <c r="A133" s="144"/>
      <c r="B133" s="145"/>
      <c r="C133" s="93" t="s">
        <v>18</v>
      </c>
      <c r="D133" s="88">
        <v>38160.400000000001</v>
      </c>
      <c r="E133" s="25"/>
      <c r="F133" s="25"/>
      <c r="G133" s="25"/>
      <c r="H133" s="25">
        <v>38160.400000000001</v>
      </c>
      <c r="I133" s="25">
        <v>0</v>
      </c>
      <c r="J133" s="25">
        <v>0</v>
      </c>
      <c r="K133" s="25"/>
      <c r="L133" s="25"/>
      <c r="M133" s="25"/>
      <c r="N133" s="25"/>
      <c r="O133" s="156"/>
      <c r="P133" s="156"/>
      <c r="Q133" s="143"/>
      <c r="R133" s="43"/>
    </row>
    <row r="134" spans="1:19" s="1" customFormat="1" ht="111.75" customHeight="1" x14ac:dyDescent="0.25">
      <c r="A134" s="115" t="s">
        <v>222</v>
      </c>
      <c r="B134" s="26" t="s">
        <v>332</v>
      </c>
      <c r="C134" s="93" t="s">
        <v>238</v>
      </c>
      <c r="D134" s="88">
        <v>15000</v>
      </c>
      <c r="E134" s="25"/>
      <c r="F134" s="25"/>
      <c r="G134" s="25"/>
      <c r="H134" s="25"/>
      <c r="I134" s="25">
        <v>15000.04</v>
      </c>
      <c r="J134" s="25"/>
      <c r="K134" s="25"/>
      <c r="L134" s="25"/>
      <c r="M134" s="25"/>
      <c r="N134" s="25"/>
      <c r="O134" s="111" t="s">
        <v>268</v>
      </c>
      <c r="P134" s="111" t="s">
        <v>246</v>
      </c>
      <c r="Q134" s="93" t="s">
        <v>223</v>
      </c>
      <c r="R134" s="44"/>
    </row>
    <row r="135" spans="1:19" s="1" customFormat="1" ht="117.75" customHeight="1" x14ac:dyDescent="0.25">
      <c r="A135" s="129" t="s">
        <v>257</v>
      </c>
      <c r="B135" s="132" t="s">
        <v>258</v>
      </c>
      <c r="C135" s="112" t="s">
        <v>261</v>
      </c>
      <c r="D135" s="88">
        <f>I135+J135+K135+L135+M135+N135</f>
        <v>2789.5199999999995</v>
      </c>
      <c r="E135" s="25"/>
      <c r="F135" s="25"/>
      <c r="G135" s="25"/>
      <c r="H135" s="25"/>
      <c r="I135" s="25">
        <v>315</v>
      </c>
      <c r="J135" s="25">
        <v>298.64</v>
      </c>
      <c r="K135" s="114">
        <v>238.5</v>
      </c>
      <c r="L135" s="114">
        <v>645.79999999999995</v>
      </c>
      <c r="M135" s="114">
        <v>645.79999999999995</v>
      </c>
      <c r="N135" s="114">
        <v>645.78</v>
      </c>
      <c r="O135" s="113" t="s">
        <v>463</v>
      </c>
      <c r="P135" s="113" t="s">
        <v>235</v>
      </c>
      <c r="Q135" s="119" t="s">
        <v>469</v>
      </c>
      <c r="R135" s="44"/>
    </row>
    <row r="136" spans="1:19" s="1" customFormat="1" ht="117.75" customHeight="1" x14ac:dyDescent="0.25">
      <c r="A136" s="129" t="s">
        <v>291</v>
      </c>
      <c r="B136" s="59" t="s">
        <v>292</v>
      </c>
      <c r="C136" s="112" t="s">
        <v>261</v>
      </c>
      <c r="D136" s="88">
        <f>SUM(E136:J136)</f>
        <v>817.24</v>
      </c>
      <c r="E136" s="25"/>
      <c r="F136" s="25"/>
      <c r="G136" s="25"/>
      <c r="H136" s="25"/>
      <c r="I136" s="25">
        <v>817.24</v>
      </c>
      <c r="J136" s="25"/>
      <c r="K136" s="25"/>
      <c r="L136" s="25"/>
      <c r="M136" s="25"/>
      <c r="N136" s="25"/>
      <c r="O136" s="113" t="s">
        <v>268</v>
      </c>
      <c r="P136" s="113" t="s">
        <v>192</v>
      </c>
      <c r="Q136" s="112" t="s">
        <v>293</v>
      </c>
      <c r="R136" s="44"/>
    </row>
    <row r="137" spans="1:19" s="1" customFormat="1" ht="96" customHeight="1" x14ac:dyDescent="0.25">
      <c r="A137" s="129" t="s">
        <v>301</v>
      </c>
      <c r="B137" s="59" t="s">
        <v>302</v>
      </c>
      <c r="C137" s="112" t="s">
        <v>261</v>
      </c>
      <c r="D137" s="88">
        <f>SUM(E137:J137)</f>
        <v>1985.6399999999999</v>
      </c>
      <c r="E137" s="25"/>
      <c r="F137" s="25"/>
      <c r="G137" s="25"/>
      <c r="H137" s="25"/>
      <c r="I137" s="25">
        <v>495.64</v>
      </c>
      <c r="J137" s="25">
        <v>1490</v>
      </c>
      <c r="K137" s="25"/>
      <c r="L137" s="25"/>
      <c r="M137" s="25"/>
      <c r="N137" s="25"/>
      <c r="O137" s="113" t="s">
        <v>463</v>
      </c>
      <c r="P137" s="113" t="s">
        <v>192</v>
      </c>
      <c r="Q137" s="112" t="s">
        <v>504</v>
      </c>
      <c r="R137" s="44"/>
    </row>
    <row r="138" spans="1:19" s="1" customFormat="1" ht="104.25" customHeight="1" x14ac:dyDescent="0.25">
      <c r="A138" s="144" t="s">
        <v>315</v>
      </c>
      <c r="B138" s="26" t="s">
        <v>318</v>
      </c>
      <c r="C138" s="143" t="s">
        <v>261</v>
      </c>
      <c r="D138" s="88">
        <f>J138+K138+L138+M138</f>
        <v>30842.74</v>
      </c>
      <c r="E138" s="25"/>
      <c r="F138" s="25"/>
      <c r="G138" s="25"/>
      <c r="H138" s="25"/>
      <c r="I138" s="25"/>
      <c r="J138" s="25">
        <v>30842.74</v>
      </c>
      <c r="K138" s="25"/>
      <c r="L138" s="25"/>
      <c r="M138" s="25"/>
      <c r="N138" s="25"/>
      <c r="O138" s="111" t="s">
        <v>309</v>
      </c>
      <c r="P138" s="156" t="s">
        <v>192</v>
      </c>
      <c r="Q138" s="93" t="s">
        <v>393</v>
      </c>
      <c r="R138" s="44"/>
    </row>
    <row r="139" spans="1:19" s="1" customFormat="1" ht="273.75" customHeight="1" x14ac:dyDescent="0.25">
      <c r="A139" s="144"/>
      <c r="B139" s="26" t="s">
        <v>403</v>
      </c>
      <c r="C139" s="143"/>
      <c r="D139" s="88">
        <f>K139+L139+M139+N139</f>
        <v>67381.17</v>
      </c>
      <c r="E139" s="25"/>
      <c r="F139" s="25"/>
      <c r="G139" s="25"/>
      <c r="H139" s="25"/>
      <c r="I139" s="25"/>
      <c r="J139" s="25"/>
      <c r="K139" s="88">
        <v>15809.6</v>
      </c>
      <c r="L139" s="88">
        <v>16815.650000000001</v>
      </c>
      <c r="M139" s="88">
        <v>17377.96</v>
      </c>
      <c r="N139" s="88">
        <v>17377.96</v>
      </c>
      <c r="O139" s="111" t="s">
        <v>459</v>
      </c>
      <c r="P139" s="156"/>
      <c r="Q139" s="93" t="s">
        <v>393</v>
      </c>
      <c r="R139" s="44"/>
    </row>
    <row r="140" spans="1:19" s="1" customFormat="1" ht="273.75" customHeight="1" x14ac:dyDescent="0.25">
      <c r="A140" s="115" t="s">
        <v>412</v>
      </c>
      <c r="B140" s="26" t="s">
        <v>440</v>
      </c>
      <c r="C140" s="94" t="s">
        <v>18</v>
      </c>
      <c r="D140" s="88">
        <f>K140+L140+M140</f>
        <v>158203.85</v>
      </c>
      <c r="E140" s="25"/>
      <c r="F140" s="25"/>
      <c r="G140" s="25"/>
      <c r="H140" s="25"/>
      <c r="I140" s="25"/>
      <c r="J140" s="25"/>
      <c r="K140" s="88">
        <v>158203.85</v>
      </c>
      <c r="L140" s="88"/>
      <c r="M140" s="88"/>
      <c r="N140" s="88"/>
      <c r="O140" s="113" t="s">
        <v>401</v>
      </c>
      <c r="P140" s="113" t="s">
        <v>416</v>
      </c>
      <c r="Q140" s="112" t="s">
        <v>505</v>
      </c>
      <c r="R140" s="44">
        <f>K140+K141</f>
        <v>203000.02000000002</v>
      </c>
    </row>
    <row r="141" spans="1:19" s="1" customFormat="1" ht="73.5" customHeight="1" x14ac:dyDescent="0.25">
      <c r="A141" s="164" t="s">
        <v>413</v>
      </c>
      <c r="B141" s="199" t="s">
        <v>414</v>
      </c>
      <c r="C141" s="94" t="s">
        <v>18</v>
      </c>
      <c r="D141" s="114">
        <f>K141+L141+M141</f>
        <v>44796.17</v>
      </c>
      <c r="E141" s="109"/>
      <c r="F141" s="109"/>
      <c r="G141" s="109"/>
      <c r="H141" s="109"/>
      <c r="I141" s="109"/>
      <c r="J141" s="109"/>
      <c r="K141" s="114">
        <v>44796.17</v>
      </c>
      <c r="L141" s="88"/>
      <c r="M141" s="88"/>
      <c r="N141" s="88"/>
      <c r="O141" s="152" t="s">
        <v>385</v>
      </c>
      <c r="P141" s="152" t="s">
        <v>415</v>
      </c>
      <c r="Q141" s="149" t="s">
        <v>478</v>
      </c>
      <c r="R141" s="44">
        <f>K141+K140+K139+K135+K130+K129+K111+K108+K106+K103+K100+K99+K98+K95+K93+K92+K91+K68+K66+K51+K49+K48+K47</f>
        <v>295358.55000000005</v>
      </c>
      <c r="S141" s="44">
        <f>K141+K140+K139+K108+K106+K103+K95+K68</f>
        <v>255056.31</v>
      </c>
    </row>
    <row r="142" spans="1:19" s="1" customFormat="1" ht="80.25" customHeight="1" x14ac:dyDescent="0.25">
      <c r="A142" s="165"/>
      <c r="B142" s="200"/>
      <c r="C142" s="94" t="s">
        <v>341</v>
      </c>
      <c r="D142" s="114">
        <f>K142+L142+M142+N142</f>
        <v>6377</v>
      </c>
      <c r="E142" s="109"/>
      <c r="F142" s="109"/>
      <c r="G142" s="109"/>
      <c r="H142" s="109"/>
      <c r="I142" s="109"/>
      <c r="J142" s="109"/>
      <c r="K142" s="114">
        <v>6377</v>
      </c>
      <c r="L142" s="88"/>
      <c r="M142" s="88"/>
      <c r="N142" s="88"/>
      <c r="O142" s="154"/>
      <c r="P142" s="154"/>
      <c r="Q142" s="151"/>
      <c r="R142" s="44"/>
      <c r="S142" s="44"/>
    </row>
    <row r="143" spans="1:19" s="1" customFormat="1" ht="20.25" customHeight="1" x14ac:dyDescent="0.25">
      <c r="A143" s="225" t="s">
        <v>432</v>
      </c>
      <c r="B143" s="225"/>
      <c r="C143" s="225"/>
      <c r="D143" s="102">
        <f>SUM(E143:N143)</f>
        <v>1783941.45</v>
      </c>
      <c r="E143" s="97">
        <v>440757.9</v>
      </c>
      <c r="F143" s="97">
        <v>54406.6</v>
      </c>
      <c r="G143" s="97">
        <v>50075.5</v>
      </c>
      <c r="H143" s="97">
        <f>H37+H40+H43+H44+H50+H66+H67+H68+H90+H95+H97+H102+H106+H108+H111+H122+H78+H83+H131+H79</f>
        <v>156331.51999999999</v>
      </c>
      <c r="I143" s="97">
        <f>I44+I50+I66+I68+I91+I92+I93+I95+I98+I99+I100+I102+I106+I108+I111+I134+I136+I121+I137+I53+I130+I135</f>
        <v>120430.93000000001</v>
      </c>
      <c r="J143" s="97">
        <f>J44+J50+J66+J68+J91+J92+J93+J95+J98+J99+J100+J103+J106+J108+J111+J130+J135+J137+J138+J132</f>
        <v>144900.44</v>
      </c>
      <c r="K143" s="102">
        <f>K47+K48+K49+K50+K66+K68+K91+K92+K93+K95+K98+K99+K100+K103+K106+K108+K111+K129+K130+K135+K139+K140+K141+K142</f>
        <v>301735.55</v>
      </c>
      <c r="L143" s="102">
        <f>L47+L48+L49+L50+L66+L68+L91+L92+L93+L95+L98+L99+L100+L104+L106+L108+L111+L129+L130+L135+L139</f>
        <v>147481.96</v>
      </c>
      <c r="M143" s="102">
        <f>M47+M48+M49+M50+M66+M68+M91+M92+M93+M95+M98+M99+M100+M104+M106+M108+M111+M129+M130+M135+M139</f>
        <v>182096.55999999994</v>
      </c>
      <c r="N143" s="102">
        <f>N47+N48+N49+N50+N66+N68+N91+N92+N93+N95+N98+N99+N100+N104+N106+N108+N111+N129+N130+N135+N139</f>
        <v>185724.48999999996</v>
      </c>
      <c r="O143" s="98"/>
      <c r="P143" s="96"/>
      <c r="Q143" s="93"/>
      <c r="R143" s="43"/>
    </row>
    <row r="144" spans="1:19" s="1" customFormat="1" ht="35.25" customHeight="1" x14ac:dyDescent="0.3">
      <c r="A144" s="196" t="s">
        <v>420</v>
      </c>
      <c r="B144" s="196"/>
      <c r="C144" s="196"/>
      <c r="D144" s="196"/>
      <c r="E144" s="196"/>
      <c r="F144" s="196"/>
      <c r="G144" s="196"/>
      <c r="H144" s="196"/>
      <c r="I144" s="196"/>
      <c r="J144" s="196"/>
      <c r="K144" s="196"/>
      <c r="L144" s="196"/>
      <c r="M144" s="196"/>
      <c r="N144" s="196"/>
      <c r="O144" s="196"/>
      <c r="P144" s="196"/>
      <c r="Q144" s="196"/>
    </row>
    <row r="145" spans="1:18" s="1" customFormat="1" ht="162.75" customHeight="1" x14ac:dyDescent="0.25">
      <c r="A145" s="116" t="s">
        <v>74</v>
      </c>
      <c r="B145" s="112" t="s">
        <v>333</v>
      </c>
      <c r="C145" s="119" t="s">
        <v>261</v>
      </c>
      <c r="D145" s="114">
        <f>SUM(E145:N145)</f>
        <v>46710.625499999995</v>
      </c>
      <c r="E145" s="109">
        <f>3798.69617+508.63333+18.286-152</f>
        <v>4173.6154999999999</v>
      </c>
      <c r="F145" s="109">
        <v>2361.1</v>
      </c>
      <c r="G145" s="109">
        <v>8064.5</v>
      </c>
      <c r="H145" s="109">
        <v>10409.41</v>
      </c>
      <c r="I145" s="109">
        <v>3060.6</v>
      </c>
      <c r="J145" s="109">
        <v>3996.7</v>
      </c>
      <c r="K145" s="109">
        <v>2960.5</v>
      </c>
      <c r="L145" s="109">
        <v>3924.2</v>
      </c>
      <c r="M145" s="109">
        <v>3380</v>
      </c>
      <c r="N145" s="109">
        <v>4380</v>
      </c>
      <c r="O145" s="113" t="s">
        <v>452</v>
      </c>
      <c r="P145" s="192" t="s">
        <v>229</v>
      </c>
      <c r="Q145" s="112" t="s">
        <v>75</v>
      </c>
    </row>
    <row r="146" spans="1:18" s="1" customFormat="1" ht="105" customHeight="1" x14ac:dyDescent="0.3">
      <c r="A146" s="62"/>
      <c r="B146" s="46" t="s">
        <v>356</v>
      </c>
      <c r="C146" s="192"/>
      <c r="D146" s="110"/>
      <c r="E146" s="110"/>
      <c r="F146" s="110"/>
      <c r="G146" s="110"/>
      <c r="H146" s="110"/>
      <c r="I146" s="109"/>
      <c r="J146" s="110"/>
      <c r="K146" s="110"/>
      <c r="L146" s="110"/>
      <c r="M146" s="110"/>
      <c r="N146" s="110"/>
      <c r="O146" s="113" t="s">
        <v>452</v>
      </c>
      <c r="P146" s="192"/>
      <c r="Q146" s="119" t="s">
        <v>508</v>
      </c>
    </row>
    <row r="147" spans="1:18" s="1" customFormat="1" ht="161.25" customHeight="1" x14ac:dyDescent="0.3">
      <c r="A147" s="62"/>
      <c r="B147" s="46" t="s">
        <v>76</v>
      </c>
      <c r="C147" s="192"/>
      <c r="D147" s="110"/>
      <c r="E147" s="110"/>
      <c r="F147" s="110"/>
      <c r="G147" s="110"/>
      <c r="H147" s="110"/>
      <c r="I147" s="109"/>
      <c r="J147" s="110"/>
      <c r="K147" s="110"/>
      <c r="L147" s="110"/>
      <c r="M147" s="110"/>
      <c r="N147" s="110"/>
      <c r="O147" s="113" t="s">
        <v>479</v>
      </c>
      <c r="P147" s="192"/>
      <c r="Q147" s="112" t="s">
        <v>509</v>
      </c>
    </row>
    <row r="148" spans="1:18" s="1" customFormat="1" ht="145.5" customHeight="1" x14ac:dyDescent="0.25">
      <c r="A148" s="116" t="s">
        <v>77</v>
      </c>
      <c r="B148" s="112" t="s">
        <v>78</v>
      </c>
      <c r="C148" s="112" t="s">
        <v>261</v>
      </c>
      <c r="D148" s="114">
        <f>SUM(E148:N148)</f>
        <v>7587.9235900000003</v>
      </c>
      <c r="E148" s="109">
        <f>1672.19359+46.02</f>
        <v>1718.2135900000001</v>
      </c>
      <c r="F148" s="109">
        <v>679.4</v>
      </c>
      <c r="G148" s="109">
        <v>328.5</v>
      </c>
      <c r="H148" s="109">
        <v>348.47</v>
      </c>
      <c r="I148" s="109">
        <v>1289.7</v>
      </c>
      <c r="J148" s="109">
        <v>369.8</v>
      </c>
      <c r="K148" s="109">
        <v>1379.6</v>
      </c>
      <c r="L148" s="109">
        <v>714</v>
      </c>
      <c r="M148" s="109">
        <v>380.12</v>
      </c>
      <c r="N148" s="109">
        <v>380.12</v>
      </c>
      <c r="O148" s="113" t="s">
        <v>452</v>
      </c>
      <c r="P148" s="113" t="s">
        <v>229</v>
      </c>
      <c r="Q148" s="112" t="s">
        <v>493</v>
      </c>
    </row>
    <row r="149" spans="1:18" s="1" customFormat="1" ht="58.5" customHeight="1" x14ac:dyDescent="0.25">
      <c r="A149" s="183" t="s">
        <v>79</v>
      </c>
      <c r="B149" s="184" t="s">
        <v>322</v>
      </c>
      <c r="C149" s="112" t="s">
        <v>261</v>
      </c>
      <c r="D149" s="114">
        <f>SUM(E149:J149)</f>
        <v>4796.751940000001</v>
      </c>
      <c r="E149" s="109">
        <f>8293.45194-3496.7</f>
        <v>4796.751940000001</v>
      </c>
      <c r="F149" s="109">
        <v>0</v>
      </c>
      <c r="G149" s="109">
        <v>0</v>
      </c>
      <c r="H149" s="109">
        <v>0</v>
      </c>
      <c r="I149" s="109">
        <v>0</v>
      </c>
      <c r="J149" s="109"/>
      <c r="K149" s="109"/>
      <c r="L149" s="109"/>
      <c r="M149" s="109"/>
      <c r="N149" s="109"/>
      <c r="O149" s="113" t="s">
        <v>19</v>
      </c>
      <c r="P149" s="113" t="s">
        <v>233</v>
      </c>
      <c r="Q149" s="112" t="s">
        <v>80</v>
      </c>
    </row>
    <row r="150" spans="1:18" s="1" customFormat="1" ht="81.75" customHeight="1" x14ac:dyDescent="0.25">
      <c r="A150" s="183"/>
      <c r="B150" s="184"/>
      <c r="C150" s="112"/>
      <c r="D150" s="114">
        <f>SUM(E150:N150)</f>
        <v>65723.889939999994</v>
      </c>
      <c r="E150" s="109">
        <v>0</v>
      </c>
      <c r="F150" s="109">
        <v>174.63994</v>
      </c>
      <c r="G150" s="109">
        <v>794</v>
      </c>
      <c r="H150" s="109">
        <v>3530.8</v>
      </c>
      <c r="I150" s="109">
        <v>175.24</v>
      </c>
      <c r="J150" s="109">
        <v>165</v>
      </c>
      <c r="K150" s="114">
        <v>4828.57</v>
      </c>
      <c r="L150" s="109">
        <v>12185.2</v>
      </c>
      <c r="M150" s="109">
        <v>21685.24</v>
      </c>
      <c r="N150" s="109">
        <v>22185.200000000001</v>
      </c>
      <c r="O150" s="113" t="s">
        <v>458</v>
      </c>
      <c r="P150" s="113" t="s">
        <v>192</v>
      </c>
      <c r="Q150" s="112" t="s">
        <v>494</v>
      </c>
      <c r="R150" s="44"/>
    </row>
    <row r="151" spans="1:18" s="1" customFormat="1" ht="97.5" customHeight="1" x14ac:dyDescent="0.25">
      <c r="A151" s="116" t="s">
        <v>81</v>
      </c>
      <c r="B151" s="112" t="s">
        <v>82</v>
      </c>
      <c r="C151" s="112" t="s">
        <v>261</v>
      </c>
      <c r="D151" s="114">
        <f>SUM(E151:N151)</f>
        <v>22068.06</v>
      </c>
      <c r="E151" s="114">
        <f>500+350</f>
        <v>850</v>
      </c>
      <c r="F151" s="114">
        <v>128.69999999999999</v>
      </c>
      <c r="G151" s="114">
        <v>113.1</v>
      </c>
      <c r="H151" s="114">
        <v>1301.46</v>
      </c>
      <c r="I151" s="114">
        <v>2162.6</v>
      </c>
      <c r="J151" s="114">
        <v>2767.24</v>
      </c>
      <c r="K151" s="114">
        <v>3760.9</v>
      </c>
      <c r="L151" s="114">
        <v>5287.22</v>
      </c>
      <c r="M151" s="114">
        <v>2500</v>
      </c>
      <c r="N151" s="114">
        <v>3196.84</v>
      </c>
      <c r="O151" s="113" t="s">
        <v>452</v>
      </c>
      <c r="P151" s="113" t="s">
        <v>233</v>
      </c>
      <c r="Q151" s="112" t="s">
        <v>457</v>
      </c>
    </row>
    <row r="152" spans="1:18" s="1" customFormat="1" ht="83.25" customHeight="1" x14ac:dyDescent="0.25">
      <c r="A152" s="116" t="s">
        <v>83</v>
      </c>
      <c r="B152" s="112" t="s">
        <v>84</v>
      </c>
      <c r="C152" s="112" t="s">
        <v>261</v>
      </c>
      <c r="D152" s="114">
        <f>E152+F152+G152+H152+I152+J152+K152+L152+M152+N152</f>
        <v>232213.72755000001</v>
      </c>
      <c r="E152" s="114">
        <v>16999.06655</v>
      </c>
      <c r="F152" s="114">
        <v>19762.771000000001</v>
      </c>
      <c r="G152" s="114">
        <v>19372.8</v>
      </c>
      <c r="H152" s="114">
        <v>19085.060000000001</v>
      </c>
      <c r="I152" s="114">
        <v>22513</v>
      </c>
      <c r="J152" s="114">
        <v>25873</v>
      </c>
      <c r="K152" s="114">
        <v>27293.200000000001</v>
      </c>
      <c r="L152" s="114">
        <v>29314.83</v>
      </c>
      <c r="M152" s="114">
        <v>26000</v>
      </c>
      <c r="N152" s="114">
        <v>26000</v>
      </c>
      <c r="O152" s="113" t="s">
        <v>452</v>
      </c>
      <c r="P152" s="113" t="s">
        <v>233</v>
      </c>
      <c r="Q152" s="112" t="s">
        <v>85</v>
      </c>
    </row>
    <row r="153" spans="1:18" s="1" customFormat="1" ht="99.75" customHeight="1" x14ac:dyDescent="0.25">
      <c r="A153" s="116" t="s">
        <v>86</v>
      </c>
      <c r="B153" s="112" t="s">
        <v>87</v>
      </c>
      <c r="C153" s="112" t="s">
        <v>261</v>
      </c>
      <c r="D153" s="114">
        <f>E153+F153+G153+H153+I153+J153+K153+L153+M153+N153</f>
        <v>12501.999999999998</v>
      </c>
      <c r="E153" s="114">
        <v>231.9</v>
      </c>
      <c r="F153" s="114">
        <v>1744.4</v>
      </c>
      <c r="G153" s="114">
        <v>1705.9</v>
      </c>
      <c r="H153" s="114">
        <v>1133.0999999999999</v>
      </c>
      <c r="I153" s="114">
        <v>1153</v>
      </c>
      <c r="J153" s="114">
        <v>1256.5999999999999</v>
      </c>
      <c r="K153" s="114">
        <v>1404.4</v>
      </c>
      <c r="L153" s="114">
        <v>1290.9000000000001</v>
      </c>
      <c r="M153" s="114">
        <v>1290.9000000000001</v>
      </c>
      <c r="N153" s="114">
        <v>1290.9000000000001</v>
      </c>
      <c r="O153" s="113" t="s">
        <v>452</v>
      </c>
      <c r="P153" s="113" t="s">
        <v>235</v>
      </c>
      <c r="Q153" s="112" t="s">
        <v>88</v>
      </c>
    </row>
    <row r="154" spans="1:18" s="1" customFormat="1" ht="26.25" customHeight="1" x14ac:dyDescent="0.25">
      <c r="A154" s="197" t="s">
        <v>433</v>
      </c>
      <c r="B154" s="197"/>
      <c r="C154" s="105"/>
      <c r="D154" s="102">
        <f>SUM(E154:W154)</f>
        <v>392550.33094000007</v>
      </c>
      <c r="E154" s="102">
        <v>29716.9</v>
      </c>
      <c r="F154" s="102">
        <f>F153+F152+F151+F150+F149+F148+F147+F146+F145</f>
        <v>24851.010940000004</v>
      </c>
      <c r="G154" s="102">
        <f>G153+G152+G151+G150+G149+G148+G147+G146+G145</f>
        <v>30378.799999999999</v>
      </c>
      <c r="H154" s="102">
        <f>ROUND(H153+H152+H151+H150+H149+H148+H147+H146+H145,2)</f>
        <v>35808.300000000003</v>
      </c>
      <c r="I154" s="102">
        <f>I153+I152+I151+I150+I149+I148+I147+I146+I145</f>
        <v>30354.14</v>
      </c>
      <c r="J154" s="102">
        <f>J145+J148+J150+J151+J152+J153</f>
        <v>34428.339999999997</v>
      </c>
      <c r="K154" s="102">
        <f>K145+K148+K150+K151+K152+K153</f>
        <v>41627.170000000006</v>
      </c>
      <c r="L154" s="102">
        <f>L145+L148+L150+L151+L152+L153</f>
        <v>52716.350000000006</v>
      </c>
      <c r="M154" s="102">
        <f>M145+M148+M150+M151+M152+M153</f>
        <v>55236.26</v>
      </c>
      <c r="N154" s="102">
        <f>N145+N148+N150+N151+N152+N153</f>
        <v>57433.060000000005</v>
      </c>
      <c r="O154" s="121"/>
      <c r="P154" s="105"/>
      <c r="Q154" s="105"/>
    </row>
    <row r="155" spans="1:18" s="1" customFormat="1" ht="18.75" x14ac:dyDescent="0.3">
      <c r="A155" s="196" t="s">
        <v>421</v>
      </c>
      <c r="B155" s="196"/>
      <c r="C155" s="196"/>
      <c r="D155" s="196"/>
      <c r="E155" s="196"/>
      <c r="F155" s="196"/>
      <c r="G155" s="196"/>
      <c r="H155" s="196"/>
      <c r="I155" s="196"/>
      <c r="J155" s="196"/>
      <c r="K155" s="196"/>
      <c r="L155" s="196"/>
      <c r="M155" s="196"/>
      <c r="N155" s="196"/>
      <c r="O155" s="196"/>
      <c r="P155" s="196"/>
      <c r="Q155" s="196"/>
    </row>
    <row r="156" spans="1:18" s="1" customFormat="1" ht="18" customHeight="1" x14ac:dyDescent="0.25">
      <c r="A156" s="183" t="s">
        <v>89</v>
      </c>
      <c r="B156" s="184" t="s">
        <v>337</v>
      </c>
      <c r="C156" s="112" t="s">
        <v>90</v>
      </c>
      <c r="D156" s="114">
        <f>D159+D158+D157</f>
        <v>327868.96877999994</v>
      </c>
      <c r="E156" s="114">
        <v>21093.3</v>
      </c>
      <c r="F156" s="114">
        <v>18312.400000000001</v>
      </c>
      <c r="G156" s="114">
        <v>20102.900000000001</v>
      </c>
      <c r="H156" s="114">
        <v>24260.2</v>
      </c>
      <c r="I156" s="114">
        <f>I157+I158+I159</f>
        <v>27744.7</v>
      </c>
      <c r="J156" s="114">
        <f>J157+J158+J159</f>
        <v>34502.910000000003</v>
      </c>
      <c r="K156" s="114">
        <f>K157</f>
        <v>50695.8</v>
      </c>
      <c r="L156" s="114">
        <f>L157+L158+L159</f>
        <v>49166.5</v>
      </c>
      <c r="M156" s="114">
        <f>M157</f>
        <v>40995.1</v>
      </c>
      <c r="N156" s="114">
        <f>N157+N158+N159</f>
        <v>40995.1</v>
      </c>
      <c r="O156" s="192" t="s">
        <v>452</v>
      </c>
      <c r="P156" s="192" t="s">
        <v>229</v>
      </c>
      <c r="Q156" s="184" t="s">
        <v>91</v>
      </c>
    </row>
    <row r="157" spans="1:18" s="1" customFormat="1" ht="57.75" customHeight="1" x14ac:dyDescent="0.25">
      <c r="A157" s="183"/>
      <c r="B157" s="184"/>
      <c r="C157" s="112" t="s">
        <v>261</v>
      </c>
      <c r="D157" s="114">
        <f>SUM(E157:N157)</f>
        <v>327596.74043999997</v>
      </c>
      <c r="E157" s="114">
        <v>20945.290440000001</v>
      </c>
      <c r="F157" s="114">
        <v>18287.2</v>
      </c>
      <c r="G157" s="114">
        <v>20102.900000000001</v>
      </c>
      <c r="H157" s="114">
        <v>24260.240000000002</v>
      </c>
      <c r="I157" s="114">
        <v>27645.7</v>
      </c>
      <c r="J157" s="114">
        <v>34502.910000000003</v>
      </c>
      <c r="K157" s="114">
        <v>50695.8</v>
      </c>
      <c r="L157" s="114">
        <v>49166.5</v>
      </c>
      <c r="M157" s="114">
        <v>40995.1</v>
      </c>
      <c r="N157" s="114">
        <v>40995.1</v>
      </c>
      <c r="O157" s="192"/>
      <c r="P157" s="192"/>
      <c r="Q157" s="184"/>
      <c r="R157" s="44"/>
    </row>
    <row r="158" spans="1:18" s="1" customFormat="1" ht="51.75" customHeight="1" x14ac:dyDescent="0.25">
      <c r="A158" s="183"/>
      <c r="B158" s="184"/>
      <c r="C158" s="112" t="s">
        <v>18</v>
      </c>
      <c r="D158" s="114">
        <f>SUM(E158:M158)</f>
        <v>173.22834</v>
      </c>
      <c r="E158" s="114">
        <f>113.748+34.252</f>
        <v>148</v>
      </c>
      <c r="F158" s="114">
        <v>25.228339999999999</v>
      </c>
      <c r="G158" s="114">
        <v>0</v>
      </c>
      <c r="H158" s="114">
        <v>0</v>
      </c>
      <c r="I158" s="114">
        <v>0</v>
      </c>
      <c r="J158" s="114">
        <v>0</v>
      </c>
      <c r="K158" s="114">
        <v>0</v>
      </c>
      <c r="L158" s="114">
        <v>0</v>
      </c>
      <c r="M158" s="114">
        <v>0</v>
      </c>
      <c r="N158" s="114">
        <v>0</v>
      </c>
      <c r="O158" s="192"/>
      <c r="P158" s="192"/>
      <c r="Q158" s="184"/>
      <c r="R158" s="44"/>
    </row>
    <row r="159" spans="1:18" s="1" customFormat="1" ht="42.75" customHeight="1" x14ac:dyDescent="0.25">
      <c r="A159" s="183"/>
      <c r="B159" s="184"/>
      <c r="C159" s="112" t="s">
        <v>183</v>
      </c>
      <c r="D159" s="114">
        <f>I159+J159+K159+L159+M159</f>
        <v>99</v>
      </c>
      <c r="E159" s="114"/>
      <c r="F159" s="114"/>
      <c r="G159" s="114"/>
      <c r="H159" s="114"/>
      <c r="I159" s="114">
        <v>99</v>
      </c>
      <c r="J159" s="114">
        <v>0</v>
      </c>
      <c r="K159" s="114">
        <v>0</v>
      </c>
      <c r="L159" s="114">
        <v>0</v>
      </c>
      <c r="M159" s="114">
        <v>0</v>
      </c>
      <c r="N159" s="114">
        <v>0</v>
      </c>
      <c r="O159" s="192"/>
      <c r="P159" s="192"/>
      <c r="Q159" s="184"/>
    </row>
    <row r="160" spans="1:18" s="1" customFormat="1" ht="78.75" customHeight="1" x14ac:dyDescent="0.25">
      <c r="A160" s="95" t="s">
        <v>92</v>
      </c>
      <c r="B160" s="93" t="s">
        <v>93</v>
      </c>
      <c r="C160" s="94" t="s">
        <v>261</v>
      </c>
      <c r="D160" s="114">
        <f>SUM(E160:N160)</f>
        <v>10767.305759999999</v>
      </c>
      <c r="E160" s="109">
        <f>247.9+5160.57658-532.08958-5.362</f>
        <v>4871.0249999999996</v>
      </c>
      <c r="F160" s="109">
        <v>260.60000000000002</v>
      </c>
      <c r="G160" s="109">
        <v>231.38076000000001</v>
      </c>
      <c r="H160" s="109">
        <v>358.3</v>
      </c>
      <c r="I160" s="109">
        <v>464.6</v>
      </c>
      <c r="J160" s="89">
        <v>660.2</v>
      </c>
      <c r="K160" s="89">
        <v>996.5</v>
      </c>
      <c r="L160" s="89">
        <v>974.9</v>
      </c>
      <c r="M160" s="89">
        <v>974.9</v>
      </c>
      <c r="N160" s="89">
        <v>974.9</v>
      </c>
      <c r="O160" s="111" t="s">
        <v>452</v>
      </c>
      <c r="P160" s="111" t="s">
        <v>229</v>
      </c>
      <c r="Q160" s="93" t="s">
        <v>94</v>
      </c>
    </row>
    <row r="161" spans="1:19" s="1" customFormat="1" ht="55.5" customHeight="1" x14ac:dyDescent="0.25">
      <c r="A161" s="181" t="s">
        <v>95</v>
      </c>
      <c r="B161" s="143" t="s">
        <v>334</v>
      </c>
      <c r="C161" s="143" t="s">
        <v>261</v>
      </c>
      <c r="D161" s="185">
        <f>SUM(E161:J162)</f>
        <v>44527.477999999996</v>
      </c>
      <c r="E161" s="163">
        <f>43000.7+1005.159+521.619</f>
        <v>44527.477999999996</v>
      </c>
      <c r="F161" s="163">
        <v>0</v>
      </c>
      <c r="G161" s="163">
        <v>0</v>
      </c>
      <c r="H161" s="163">
        <v>0</v>
      </c>
      <c r="I161" s="163">
        <v>0</v>
      </c>
      <c r="J161" s="185"/>
      <c r="K161" s="185"/>
      <c r="L161" s="185"/>
      <c r="M161" s="231"/>
      <c r="N161" s="231"/>
      <c r="O161" s="156" t="s">
        <v>19</v>
      </c>
      <c r="P161" s="111" t="s">
        <v>229</v>
      </c>
      <c r="Q161" s="171" t="s">
        <v>91</v>
      </c>
    </row>
    <row r="162" spans="1:19" s="1" customFormat="1" ht="282.75" customHeight="1" x14ac:dyDescent="0.25">
      <c r="A162" s="181"/>
      <c r="B162" s="143"/>
      <c r="C162" s="143"/>
      <c r="D162" s="185"/>
      <c r="E162" s="163"/>
      <c r="F162" s="163"/>
      <c r="G162" s="163"/>
      <c r="H162" s="163"/>
      <c r="I162" s="163"/>
      <c r="J162" s="185"/>
      <c r="K162" s="185"/>
      <c r="L162" s="185"/>
      <c r="M162" s="232"/>
      <c r="N162" s="232"/>
      <c r="O162" s="156"/>
      <c r="P162" s="111" t="s">
        <v>96</v>
      </c>
      <c r="Q162" s="171"/>
    </row>
    <row r="163" spans="1:19" s="1" customFormat="1" ht="87.75" customHeight="1" x14ac:dyDescent="0.25">
      <c r="A163" s="181"/>
      <c r="B163" s="143"/>
      <c r="C163" s="143"/>
      <c r="D163" s="162">
        <f>SUM(E163:L164)</f>
        <v>142899.52513999998</v>
      </c>
      <c r="E163" s="162">
        <v>0</v>
      </c>
      <c r="F163" s="162">
        <v>39755.405140000003</v>
      </c>
      <c r="G163" s="162">
        <v>35859.599999999999</v>
      </c>
      <c r="H163" s="162">
        <v>33823.4</v>
      </c>
      <c r="I163" s="185">
        <v>33461.120000000003</v>
      </c>
      <c r="J163" s="185"/>
      <c r="K163" s="185"/>
      <c r="L163" s="185"/>
      <c r="M163" s="231"/>
      <c r="N163" s="231"/>
      <c r="O163" s="224" t="s">
        <v>396</v>
      </c>
      <c r="P163" s="111" t="s">
        <v>192</v>
      </c>
      <c r="Q163" s="143" t="s">
        <v>91</v>
      </c>
    </row>
    <row r="164" spans="1:19" s="1" customFormat="1" ht="157.5" customHeight="1" x14ac:dyDescent="0.25">
      <c r="A164" s="181"/>
      <c r="B164" s="143"/>
      <c r="C164" s="143"/>
      <c r="D164" s="162"/>
      <c r="E164" s="162"/>
      <c r="F164" s="162"/>
      <c r="G164" s="162"/>
      <c r="H164" s="162"/>
      <c r="I164" s="185"/>
      <c r="J164" s="185"/>
      <c r="K164" s="185"/>
      <c r="L164" s="185"/>
      <c r="M164" s="232"/>
      <c r="N164" s="232"/>
      <c r="O164" s="224"/>
      <c r="P164" s="111" t="s">
        <v>181</v>
      </c>
      <c r="Q164" s="143"/>
    </row>
    <row r="165" spans="1:19" s="1" customFormat="1" ht="69.75" customHeight="1" x14ac:dyDescent="0.25">
      <c r="A165" s="181"/>
      <c r="B165" s="143"/>
      <c r="C165" s="143"/>
      <c r="D165" s="162">
        <f>J165+K165+L165+M165+N165</f>
        <v>174200.04</v>
      </c>
      <c r="E165" s="170"/>
      <c r="F165" s="170"/>
      <c r="G165" s="170"/>
      <c r="H165" s="170"/>
      <c r="I165" s="163"/>
      <c r="J165" s="163">
        <v>34704.04</v>
      </c>
      <c r="K165" s="163">
        <v>35208.5</v>
      </c>
      <c r="L165" s="163">
        <v>34130.5</v>
      </c>
      <c r="M165" s="163">
        <v>35078.5</v>
      </c>
      <c r="N165" s="163">
        <v>35078.5</v>
      </c>
      <c r="O165" s="224" t="s">
        <v>462</v>
      </c>
      <c r="P165" s="111" t="s">
        <v>233</v>
      </c>
      <c r="Q165" s="143"/>
    </row>
    <row r="166" spans="1:19" s="1" customFormat="1" ht="157.5" customHeight="1" x14ac:dyDescent="0.25">
      <c r="A166" s="181"/>
      <c r="B166" s="143"/>
      <c r="C166" s="143"/>
      <c r="D166" s="162"/>
      <c r="E166" s="170"/>
      <c r="F166" s="170"/>
      <c r="G166" s="170"/>
      <c r="H166" s="170"/>
      <c r="I166" s="163"/>
      <c r="J166" s="163"/>
      <c r="K166" s="163"/>
      <c r="L166" s="163"/>
      <c r="M166" s="163"/>
      <c r="N166" s="163"/>
      <c r="O166" s="224"/>
      <c r="P166" s="111" t="s">
        <v>181</v>
      </c>
      <c r="Q166" s="143"/>
    </row>
    <row r="167" spans="1:19" s="1" customFormat="1" ht="47.25" customHeight="1" x14ac:dyDescent="0.25">
      <c r="A167" s="181" t="s">
        <v>97</v>
      </c>
      <c r="B167" s="171" t="s">
        <v>98</v>
      </c>
      <c r="C167" s="93" t="s">
        <v>70</v>
      </c>
      <c r="D167" s="114">
        <f>SUM(E167:J167)</f>
        <v>48469.721389999999</v>
      </c>
      <c r="E167" s="109">
        <f t="shared" ref="E167:I167" si="10">SUM(E168:E169)</f>
        <v>48469.721389999999</v>
      </c>
      <c r="F167" s="109">
        <f t="shared" si="10"/>
        <v>0</v>
      </c>
      <c r="G167" s="109">
        <f t="shared" si="10"/>
        <v>0</v>
      </c>
      <c r="H167" s="109">
        <f t="shared" si="10"/>
        <v>0</v>
      </c>
      <c r="I167" s="109">
        <f t="shared" si="10"/>
        <v>0</v>
      </c>
      <c r="J167" s="109"/>
      <c r="K167" s="109"/>
      <c r="L167" s="109"/>
      <c r="M167" s="109"/>
      <c r="N167" s="109"/>
      <c r="O167" s="156" t="s">
        <v>271</v>
      </c>
      <c r="P167" s="111" t="s">
        <v>233</v>
      </c>
      <c r="Q167" s="171" t="s">
        <v>91</v>
      </c>
    </row>
    <row r="168" spans="1:19" s="1" customFormat="1" ht="70.5" customHeight="1" x14ac:dyDescent="0.25">
      <c r="A168" s="181"/>
      <c r="B168" s="171"/>
      <c r="C168" s="93" t="s">
        <v>261</v>
      </c>
      <c r="D168" s="114">
        <f>SUM(E168:J168)</f>
        <v>23512.721389999999</v>
      </c>
      <c r="E168" s="109">
        <v>23512.721389999999</v>
      </c>
      <c r="F168" s="109">
        <v>0</v>
      </c>
      <c r="G168" s="109">
        <v>0</v>
      </c>
      <c r="H168" s="109">
        <v>0</v>
      </c>
      <c r="I168" s="109">
        <v>0</v>
      </c>
      <c r="J168" s="109"/>
      <c r="K168" s="109"/>
      <c r="L168" s="109"/>
      <c r="M168" s="109"/>
      <c r="N168" s="109"/>
      <c r="O168" s="156"/>
      <c r="P168" s="156" t="s">
        <v>99</v>
      </c>
      <c r="Q168" s="171"/>
    </row>
    <row r="169" spans="1:19" s="1" customFormat="1" ht="96.75" customHeight="1" x14ac:dyDescent="0.25">
      <c r="A169" s="181"/>
      <c r="B169" s="171"/>
      <c r="C169" s="93" t="s">
        <v>57</v>
      </c>
      <c r="D169" s="114">
        <f>SUM(E169:J169)</f>
        <v>24957</v>
      </c>
      <c r="E169" s="109">
        <f>9268.4+15688.6</f>
        <v>24957</v>
      </c>
      <c r="F169" s="109">
        <v>0</v>
      </c>
      <c r="G169" s="109">
        <v>0</v>
      </c>
      <c r="H169" s="109">
        <v>0</v>
      </c>
      <c r="I169" s="109">
        <v>0</v>
      </c>
      <c r="J169" s="109"/>
      <c r="K169" s="109"/>
      <c r="L169" s="109"/>
      <c r="M169" s="109"/>
      <c r="N169" s="109"/>
      <c r="O169" s="156"/>
      <c r="P169" s="156"/>
      <c r="Q169" s="171"/>
    </row>
    <row r="170" spans="1:19" s="1" customFormat="1" ht="223.5" customHeight="1" x14ac:dyDescent="0.25">
      <c r="A170" s="95" t="s">
        <v>100</v>
      </c>
      <c r="B170" s="93" t="s">
        <v>206</v>
      </c>
      <c r="C170" s="93" t="s">
        <v>101</v>
      </c>
      <c r="D170" s="110"/>
      <c r="E170" s="110"/>
      <c r="F170" s="110"/>
      <c r="G170" s="110"/>
      <c r="H170" s="110"/>
      <c r="I170" s="109"/>
      <c r="J170" s="110"/>
      <c r="K170" s="110"/>
      <c r="L170" s="110"/>
      <c r="M170" s="110"/>
      <c r="N170" s="110"/>
      <c r="O170" s="113" t="s">
        <v>317</v>
      </c>
      <c r="P170" s="113" t="s">
        <v>102</v>
      </c>
      <c r="Q170" s="112" t="s">
        <v>410</v>
      </c>
    </row>
    <row r="171" spans="1:19" s="1" customFormat="1" ht="21.75" hidden="1" customHeight="1" x14ac:dyDescent="0.25">
      <c r="A171" s="95"/>
      <c r="B171" s="111"/>
      <c r="C171" s="93"/>
      <c r="D171" s="110"/>
      <c r="E171" s="110"/>
      <c r="F171" s="110"/>
      <c r="G171" s="110"/>
      <c r="H171" s="110"/>
      <c r="I171" s="109"/>
      <c r="J171" s="110"/>
      <c r="K171" s="110"/>
      <c r="L171" s="110"/>
      <c r="M171" s="110"/>
      <c r="N171" s="110"/>
      <c r="O171" s="111"/>
      <c r="P171" s="111"/>
      <c r="Q171" s="111"/>
    </row>
    <row r="172" spans="1:19" s="1" customFormat="1" ht="96.75" customHeight="1" x14ac:dyDescent="0.25">
      <c r="A172" s="95" t="s">
        <v>103</v>
      </c>
      <c r="B172" s="93" t="s">
        <v>105</v>
      </c>
      <c r="C172" s="93" t="s">
        <v>261</v>
      </c>
      <c r="D172" s="114">
        <f>E172+F172+G172+H172+I172+J172+K172+L172+M172+N172</f>
        <v>215.13</v>
      </c>
      <c r="E172" s="114">
        <v>8.6999999999999993</v>
      </c>
      <c r="F172" s="114">
        <v>9.9</v>
      </c>
      <c r="G172" s="114">
        <v>19.5</v>
      </c>
      <c r="H172" s="114">
        <v>22.1</v>
      </c>
      <c r="I172" s="114">
        <v>23.26</v>
      </c>
      <c r="J172" s="109">
        <v>23.27</v>
      </c>
      <c r="K172" s="114">
        <v>24.4</v>
      </c>
      <c r="L172" s="114">
        <v>28</v>
      </c>
      <c r="M172" s="114">
        <v>28</v>
      </c>
      <c r="N172" s="114">
        <v>28</v>
      </c>
      <c r="O172" s="111" t="s">
        <v>452</v>
      </c>
      <c r="P172" s="111" t="s">
        <v>102</v>
      </c>
      <c r="Q172" s="93" t="s">
        <v>106</v>
      </c>
      <c r="R172" s="44"/>
      <c r="S172" s="44"/>
    </row>
    <row r="173" spans="1:19" s="1" customFormat="1" ht="77.25" customHeight="1" x14ac:dyDescent="0.25">
      <c r="A173" s="181" t="s">
        <v>104</v>
      </c>
      <c r="B173" s="143" t="s">
        <v>357</v>
      </c>
      <c r="C173" s="93" t="s">
        <v>261</v>
      </c>
      <c r="D173" s="114">
        <f>SUM(E173:W173)</f>
        <v>145946.26560000001</v>
      </c>
      <c r="E173" s="114">
        <v>7347.5</v>
      </c>
      <c r="F173" s="114">
        <v>9862.0355999999992</v>
      </c>
      <c r="G173" s="114">
        <v>13034.1</v>
      </c>
      <c r="H173" s="114">
        <v>15804.9</v>
      </c>
      <c r="I173" s="114">
        <v>16297.4</v>
      </c>
      <c r="J173" s="109">
        <v>16235.93</v>
      </c>
      <c r="K173" s="114">
        <v>17151.2</v>
      </c>
      <c r="L173" s="114">
        <v>16477.099999999999</v>
      </c>
      <c r="M173" s="114">
        <v>16549.8</v>
      </c>
      <c r="N173" s="114">
        <v>17186.3</v>
      </c>
      <c r="O173" s="156" t="s">
        <v>452</v>
      </c>
      <c r="P173" s="156" t="s">
        <v>102</v>
      </c>
      <c r="Q173" s="143" t="s">
        <v>91</v>
      </c>
    </row>
    <row r="174" spans="1:19" s="1" customFormat="1" ht="69" customHeight="1" x14ac:dyDescent="0.25">
      <c r="A174" s="181"/>
      <c r="B174" s="143"/>
      <c r="C174" s="93" t="s">
        <v>340</v>
      </c>
      <c r="D174" s="114">
        <f>I174</f>
        <v>98.95</v>
      </c>
      <c r="E174" s="114">
        <v>0</v>
      </c>
      <c r="F174" s="114">
        <v>0</v>
      </c>
      <c r="G174" s="114">
        <v>0</v>
      </c>
      <c r="H174" s="114">
        <v>0</v>
      </c>
      <c r="I174" s="114">
        <v>98.95</v>
      </c>
      <c r="J174" s="109">
        <v>0</v>
      </c>
      <c r="K174" s="109">
        <v>0</v>
      </c>
      <c r="L174" s="109">
        <v>0</v>
      </c>
      <c r="M174" s="109">
        <v>0</v>
      </c>
      <c r="N174" s="109"/>
      <c r="O174" s="156"/>
      <c r="P174" s="156"/>
      <c r="Q174" s="143"/>
    </row>
    <row r="175" spans="1:19" s="1" customFormat="1" ht="62.25" customHeight="1" x14ac:dyDescent="0.25">
      <c r="A175" s="181" t="s">
        <v>107</v>
      </c>
      <c r="B175" s="143" t="s">
        <v>108</v>
      </c>
      <c r="C175" s="93" t="s">
        <v>18</v>
      </c>
      <c r="D175" s="106">
        <f>SUM(E175:J175)</f>
        <v>450.57165999999995</v>
      </c>
      <c r="E175" s="110">
        <v>0</v>
      </c>
      <c r="F175" s="110">
        <v>127.67166</v>
      </c>
      <c r="G175" s="110">
        <v>155.5</v>
      </c>
      <c r="H175" s="110">
        <v>167.4</v>
      </c>
      <c r="I175" s="110">
        <v>0</v>
      </c>
      <c r="J175" s="110"/>
      <c r="K175" s="110"/>
      <c r="L175" s="110"/>
      <c r="M175" s="110"/>
      <c r="N175" s="110"/>
      <c r="O175" s="111" t="s">
        <v>285</v>
      </c>
      <c r="P175" s="156" t="s">
        <v>192</v>
      </c>
      <c r="Q175" s="171" t="s">
        <v>91</v>
      </c>
    </row>
    <row r="176" spans="1:19" s="1" customFormat="1" ht="65.25" customHeight="1" x14ac:dyDescent="0.25">
      <c r="A176" s="181"/>
      <c r="B176" s="143"/>
      <c r="C176" s="93" t="s">
        <v>261</v>
      </c>
      <c r="D176" s="110">
        <f>SUM(E176:J176)</f>
        <v>0</v>
      </c>
      <c r="E176" s="110">
        <v>0</v>
      </c>
      <c r="F176" s="110">
        <v>0</v>
      </c>
      <c r="G176" s="110">
        <v>0</v>
      </c>
      <c r="H176" s="110">
        <v>0</v>
      </c>
      <c r="I176" s="110">
        <v>0</v>
      </c>
      <c r="J176" s="110"/>
      <c r="K176" s="110"/>
      <c r="L176" s="110"/>
      <c r="M176" s="110"/>
      <c r="N176" s="110"/>
      <c r="O176" s="111" t="s">
        <v>269</v>
      </c>
      <c r="P176" s="156"/>
      <c r="Q176" s="171"/>
    </row>
    <row r="177" spans="1:17" s="1" customFormat="1" ht="157.5" customHeight="1" x14ac:dyDescent="0.25">
      <c r="A177" s="181"/>
      <c r="B177" s="143"/>
      <c r="C177" s="94" t="s">
        <v>18</v>
      </c>
      <c r="D177" s="55">
        <f>I177+J177+K177+L177+M177+N177</f>
        <v>1456.94</v>
      </c>
      <c r="E177" s="21"/>
      <c r="F177" s="21"/>
      <c r="G177" s="21"/>
      <c r="H177" s="21"/>
      <c r="I177" s="21">
        <v>174.1</v>
      </c>
      <c r="J177" s="21">
        <v>188.99</v>
      </c>
      <c r="K177" s="55">
        <v>236.66</v>
      </c>
      <c r="L177" s="55">
        <v>285.73</v>
      </c>
      <c r="M177" s="55">
        <v>285.73</v>
      </c>
      <c r="N177" s="55">
        <v>285.73</v>
      </c>
      <c r="O177" s="111" t="s">
        <v>463</v>
      </c>
      <c r="P177" s="111" t="s">
        <v>362</v>
      </c>
      <c r="Q177" s="94" t="s">
        <v>467</v>
      </c>
    </row>
    <row r="178" spans="1:17" s="1" customFormat="1" ht="28.5" customHeight="1" x14ac:dyDescent="0.25">
      <c r="A178" s="144" t="s">
        <v>434</v>
      </c>
      <c r="B178" s="144"/>
      <c r="C178" s="93"/>
      <c r="D178" s="106">
        <f>SUM(E178:N178)</f>
        <v>896900.89633000002</v>
      </c>
      <c r="E178" s="86">
        <f>E176+E175+E173+E172+E169+E168+E163+E161+E160+E158+E157</f>
        <v>126317.71483</v>
      </c>
      <c r="F178" s="86">
        <f>F176+F175+F173+F172+F169+F168+F163+F161+F160+F158+F157</f>
        <v>68328.040739999997</v>
      </c>
      <c r="G178" s="86">
        <f>G176+G175+G173+G172+G169+G168+G163+G161+G160+G158+G157</f>
        <v>69402.980760000006</v>
      </c>
      <c r="H178" s="86">
        <f>ROUND(H176+H175+H173+H172+H169+H168+H163+H161+H160+H158+H157,2)</f>
        <v>74436.34</v>
      </c>
      <c r="I178" s="52">
        <f>I176+I175+I173+I172+I169+I168+I163+I161+I160+I157+I177+I174+I159</f>
        <v>78264.13</v>
      </c>
      <c r="J178" s="52">
        <f>J157+J160+J165+J172+J173+J177</f>
        <v>86315.340000000011</v>
      </c>
      <c r="K178" s="101">
        <f>K156+K160+K165+K172+K173+K177</f>
        <v>104313.06</v>
      </c>
      <c r="L178" s="101">
        <f>L156+L160+L165+L172+L173+L177</f>
        <v>101062.73</v>
      </c>
      <c r="M178" s="101">
        <f>M156+M160+M165+M172+M173+M177</f>
        <v>93912.03</v>
      </c>
      <c r="N178" s="101">
        <f>N156+N160+N165+N172+N173+N177</f>
        <v>94548.53</v>
      </c>
      <c r="O178" s="113"/>
      <c r="P178" s="113"/>
      <c r="Q178" s="113"/>
    </row>
    <row r="179" spans="1:17" s="1" customFormat="1" ht="17.25" customHeight="1" x14ac:dyDescent="0.25">
      <c r="A179" s="227" t="s">
        <v>422</v>
      </c>
      <c r="B179" s="227"/>
      <c r="C179" s="227"/>
      <c r="D179" s="227"/>
      <c r="E179" s="227"/>
      <c r="F179" s="227"/>
      <c r="G179" s="227"/>
      <c r="H179" s="227"/>
      <c r="I179" s="227"/>
      <c r="J179" s="227"/>
      <c r="K179" s="227"/>
      <c r="L179" s="227"/>
      <c r="M179" s="227"/>
      <c r="N179" s="227"/>
      <c r="O179" s="227"/>
      <c r="P179" s="227"/>
      <c r="Q179" s="227"/>
    </row>
    <row r="180" spans="1:17" s="1" customFormat="1" ht="58.5" customHeight="1" x14ac:dyDescent="0.3">
      <c r="A180" s="144" t="s">
        <v>109</v>
      </c>
      <c r="B180" s="171" t="s">
        <v>110</v>
      </c>
      <c r="C180" s="143" t="s">
        <v>101</v>
      </c>
      <c r="D180" s="110"/>
      <c r="E180" s="110"/>
      <c r="F180" s="110"/>
      <c r="G180" s="110"/>
      <c r="H180" s="110"/>
      <c r="I180" s="109"/>
      <c r="J180" s="110"/>
      <c r="K180" s="110"/>
      <c r="L180" s="110"/>
      <c r="M180" s="110"/>
      <c r="N180" s="110"/>
      <c r="O180" s="156" t="s">
        <v>452</v>
      </c>
      <c r="P180" s="27" t="s">
        <v>229</v>
      </c>
      <c r="Q180" s="171" t="s">
        <v>111</v>
      </c>
    </row>
    <row r="181" spans="1:17" s="1" customFormat="1" ht="95.25" customHeight="1" x14ac:dyDescent="0.3">
      <c r="A181" s="144"/>
      <c r="B181" s="171"/>
      <c r="C181" s="143"/>
      <c r="D181" s="110"/>
      <c r="E181" s="110"/>
      <c r="F181" s="110"/>
      <c r="G181" s="110"/>
      <c r="H181" s="110"/>
      <c r="I181" s="109"/>
      <c r="J181" s="110"/>
      <c r="K181" s="110"/>
      <c r="L181" s="110"/>
      <c r="M181" s="110"/>
      <c r="N181" s="110"/>
      <c r="O181" s="156"/>
      <c r="P181" s="27" t="s">
        <v>236</v>
      </c>
      <c r="Q181" s="171"/>
    </row>
    <row r="182" spans="1:17" s="1" customFormat="1" ht="107.25" customHeight="1" x14ac:dyDescent="0.25">
      <c r="A182" s="115" t="s">
        <v>112</v>
      </c>
      <c r="B182" s="93" t="s">
        <v>113</v>
      </c>
      <c r="C182" s="93" t="s">
        <v>101</v>
      </c>
      <c r="D182" s="110"/>
      <c r="E182" s="110"/>
      <c r="F182" s="110"/>
      <c r="G182" s="110"/>
      <c r="H182" s="110"/>
      <c r="I182" s="109"/>
      <c r="J182" s="110"/>
      <c r="K182" s="110"/>
      <c r="L182" s="110"/>
      <c r="M182" s="110"/>
      <c r="N182" s="110"/>
      <c r="O182" s="111" t="s">
        <v>452</v>
      </c>
      <c r="P182" s="111" t="s">
        <v>229</v>
      </c>
      <c r="Q182" s="93" t="s">
        <v>114</v>
      </c>
    </row>
    <row r="183" spans="1:17" s="1" customFormat="1" ht="21.75" customHeight="1" x14ac:dyDescent="0.3">
      <c r="A183" s="144" t="s">
        <v>435</v>
      </c>
      <c r="B183" s="144"/>
      <c r="C183" s="93"/>
      <c r="D183" s="110">
        <v>0</v>
      </c>
      <c r="E183" s="110">
        <v>0</v>
      </c>
      <c r="F183" s="110">
        <v>0</v>
      </c>
      <c r="G183" s="110">
        <v>0</v>
      </c>
      <c r="H183" s="110">
        <v>0</v>
      </c>
      <c r="I183" s="109">
        <v>0</v>
      </c>
      <c r="J183" s="110">
        <v>0</v>
      </c>
      <c r="K183" s="110">
        <v>0</v>
      </c>
      <c r="L183" s="110">
        <v>0</v>
      </c>
      <c r="M183" s="110">
        <v>0</v>
      </c>
      <c r="N183" s="110">
        <v>0</v>
      </c>
      <c r="O183" s="111"/>
      <c r="P183" s="27"/>
      <c r="Q183" s="111"/>
    </row>
    <row r="184" spans="1:17" s="1" customFormat="1" ht="34.5" customHeight="1" x14ac:dyDescent="0.3">
      <c r="A184" s="226" t="s">
        <v>436</v>
      </c>
      <c r="B184" s="226"/>
      <c r="C184" s="226"/>
      <c r="D184" s="106">
        <f>SUM(E184:N184)</f>
        <v>7709848.3287399998</v>
      </c>
      <c r="E184" s="86">
        <f>E35+E143+E154+E178+E183</f>
        <v>686350.86001000006</v>
      </c>
      <c r="F184" s="86">
        <f>F35+F143+F154+F178+F183</f>
        <v>317788.72797000001</v>
      </c>
      <c r="G184" s="86">
        <f>G35+G143+G154+G178+G183</f>
        <v>691142.48075999995</v>
      </c>
      <c r="H184" s="86">
        <v>893392.04</v>
      </c>
      <c r="I184" s="52">
        <f>I35+I143+I154+I178+I183</f>
        <v>1115528.4500000002</v>
      </c>
      <c r="J184" s="86">
        <f>J143+J154+J178+J35</f>
        <v>948439.0199999999</v>
      </c>
      <c r="K184" s="100">
        <f>K35+K143+K154+K178+K183</f>
        <v>961602.08000000007</v>
      </c>
      <c r="L184" s="100">
        <f>L35+L143+L154+L178</f>
        <v>665515.1399999999</v>
      </c>
      <c r="M184" s="100">
        <f>M35+M143+M154+M178</f>
        <v>725487.95</v>
      </c>
      <c r="N184" s="100">
        <f>N35+N143+N154+N178</f>
        <v>704601.58000000007</v>
      </c>
      <c r="O184" s="61"/>
      <c r="P184" s="61"/>
      <c r="Q184" s="61"/>
    </row>
    <row r="185" spans="1:17" s="1" customFormat="1" ht="13.5" hidden="1" customHeight="1" x14ac:dyDescent="0.3">
      <c r="A185" s="117"/>
      <c r="B185" s="117"/>
      <c r="C185" s="117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1"/>
      <c r="P185" s="61"/>
      <c r="Q185" s="61"/>
    </row>
    <row r="186" spans="1:17" s="1" customFormat="1" ht="18.75" hidden="1" x14ac:dyDescent="0.3">
      <c r="A186" s="61"/>
      <c r="B186" s="61" t="s">
        <v>115</v>
      </c>
      <c r="C186" s="61"/>
      <c r="D186" s="61"/>
      <c r="E186" s="61"/>
      <c r="F186" s="61"/>
      <c r="G186" s="64" t="e">
        <f>#REF!+G18+#REF!+G38+G41+G43+G45+#REF!+G51+G66+G67+G94+#REF!+G101+G105+G107+#REF!+G109+G111+#REF!+G145+G148+G149+G151+G152+G157+G160+#REF!+G161+G168+#REF!+#REF!+#REF!</f>
        <v>#REF!</v>
      </c>
      <c r="H186" s="64" t="e">
        <f>#REF!+H17+H18+#REF!+H38+H41+H43+H45+#REF!+H51+H66+H67+H94+#REF!+H101+H105+H107+#REF!+H109+H111+#REF!+H145+H148+H149+H151+H152+H157+H160+#REF!+H161+H168+#REF!+#REF!+#REF!</f>
        <v>#REF!</v>
      </c>
      <c r="I186" s="65" t="e">
        <f>#REF!+I17+I18+#REF!+I38+I41+I43+I45+#REF!+I51+I66+I67+I94+#REF!+I101+I105+I107+#REF!+I109+I111+#REF!+I145+I148+I149+I151+I152+I157+I160+#REF!+I161+I168+#REF!+#REF!+#REF!+#REF!</f>
        <v>#REF!</v>
      </c>
      <c r="J186" s="64"/>
      <c r="K186" s="64"/>
      <c r="L186" s="64"/>
      <c r="M186" s="64"/>
      <c r="N186" s="64"/>
      <c r="O186" s="61"/>
      <c r="P186" s="61"/>
      <c r="Q186" s="61"/>
    </row>
    <row r="187" spans="1:17" s="1" customFormat="1" ht="18.75" hidden="1" x14ac:dyDescent="0.3">
      <c r="A187" s="61"/>
      <c r="B187" s="61" t="s">
        <v>116</v>
      </c>
      <c r="C187" s="61"/>
      <c r="D187" s="61"/>
      <c r="E187" s="61"/>
      <c r="F187" s="61"/>
      <c r="G187" s="64" t="e">
        <f>#REF!+G96+G158+G169</f>
        <v>#REF!</v>
      </c>
      <c r="H187" s="64" t="e">
        <f>#REF!+H96+H158+H169</f>
        <v>#REF!</v>
      </c>
      <c r="I187" s="65" t="e">
        <f>#REF!+I96+I158+I169</f>
        <v>#REF!</v>
      </c>
      <c r="J187" s="64"/>
      <c r="K187" s="64"/>
      <c r="L187" s="64"/>
      <c r="M187" s="64"/>
      <c r="N187" s="64"/>
      <c r="O187" s="61"/>
      <c r="P187" s="61"/>
      <c r="Q187" s="61"/>
    </row>
    <row r="188" spans="1:17" s="1" customFormat="1" ht="18.75" hidden="1" x14ac:dyDescent="0.3">
      <c r="A188" s="61"/>
      <c r="B188" s="61" t="s">
        <v>117</v>
      </c>
      <c r="C188" s="61"/>
      <c r="D188" s="61"/>
      <c r="E188" s="61"/>
      <c r="F188" s="61"/>
      <c r="G188" s="64" t="e">
        <f>G186+G187</f>
        <v>#REF!</v>
      </c>
      <c r="H188" s="64" t="e">
        <f>H186+H187</f>
        <v>#REF!</v>
      </c>
      <c r="I188" s="65" t="e">
        <f>I186+I187</f>
        <v>#REF!</v>
      </c>
      <c r="J188" s="64"/>
      <c r="K188" s="64"/>
      <c r="L188" s="64"/>
      <c r="M188" s="64"/>
      <c r="N188" s="64"/>
      <c r="O188" s="64"/>
      <c r="P188" s="64"/>
      <c r="Q188" s="61"/>
    </row>
    <row r="189" spans="1:17" s="1" customFormat="1" ht="18.75" hidden="1" x14ac:dyDescent="0.3">
      <c r="A189" s="61"/>
      <c r="B189" s="61" t="s">
        <v>118</v>
      </c>
      <c r="C189" s="61"/>
      <c r="D189" s="61"/>
      <c r="E189" s="61"/>
      <c r="F189" s="61"/>
      <c r="G189" s="64" t="e">
        <f>#REF!+#REF!+#REF!+#REF!+#REF!+#REF!+#REF!+#REF!+#REF!+#REF!+#REF!+#REF!+#REF!+#REF!</f>
        <v>#REF!</v>
      </c>
      <c r="H189" s="64" t="e">
        <f>#REF!+#REF!+#REF!+#REF!+#REF!+#REF!+#REF!+#REF!+#REF!+#REF!+#REF!+#REF!+#REF!</f>
        <v>#REF!</v>
      </c>
      <c r="I189" s="65" t="e">
        <f>#REF!+#REF!+#REF!+#REF!+#REF!+#REF!+#REF!+#REF!+#REF!+#REF!+#REF!+#REF!+#REF!</f>
        <v>#REF!</v>
      </c>
      <c r="J189" s="64"/>
      <c r="K189" s="64"/>
      <c r="L189" s="64"/>
      <c r="M189" s="64"/>
      <c r="N189" s="64"/>
      <c r="O189" s="61"/>
      <c r="P189" s="61"/>
      <c r="Q189" s="61"/>
    </row>
    <row r="190" spans="1:17" s="1" customFormat="1" ht="18.75" hidden="1" x14ac:dyDescent="0.3">
      <c r="A190" s="61"/>
      <c r="B190" s="61" t="s">
        <v>119</v>
      </c>
      <c r="C190" s="61"/>
      <c r="D190" s="61"/>
      <c r="E190" s="61"/>
      <c r="F190" s="61"/>
      <c r="G190" s="66" t="e">
        <f>#REF!+#REF!+#REF!</f>
        <v>#REF!</v>
      </c>
      <c r="H190" s="66" t="e">
        <f>#REF!+#REF!+#REF!</f>
        <v>#REF!</v>
      </c>
      <c r="I190" s="65" t="e">
        <f>#REF!+#REF!+#REF!</f>
        <v>#REF!</v>
      </c>
      <c r="J190" s="66"/>
      <c r="K190" s="66"/>
      <c r="L190" s="66"/>
      <c r="M190" s="66"/>
      <c r="N190" s="66"/>
      <c r="O190" s="61"/>
      <c r="P190" s="61"/>
      <c r="Q190" s="61"/>
    </row>
    <row r="191" spans="1:17" s="1" customFormat="1" ht="18.75" hidden="1" x14ac:dyDescent="0.3">
      <c r="A191" s="61"/>
      <c r="B191" s="61" t="s">
        <v>120</v>
      </c>
      <c r="C191" s="61"/>
      <c r="D191" s="61"/>
      <c r="E191" s="61"/>
      <c r="F191" s="61"/>
      <c r="G191" s="66" t="e">
        <f>#REF!+#REF!</f>
        <v>#REF!</v>
      </c>
      <c r="H191" s="66" t="e">
        <f>#REF!+#REF!+#REF!</f>
        <v>#REF!</v>
      </c>
      <c r="I191" s="65" t="e">
        <f>#REF!+#REF!+#REF!</f>
        <v>#REF!</v>
      </c>
      <c r="J191" s="66"/>
      <c r="K191" s="66"/>
      <c r="L191" s="66"/>
      <c r="M191" s="66"/>
      <c r="N191" s="66"/>
      <c r="O191" s="61"/>
      <c r="P191" s="61"/>
      <c r="Q191" s="61"/>
    </row>
    <row r="192" spans="1:17" s="1" customFormat="1" ht="18.75" hidden="1" x14ac:dyDescent="0.3">
      <c r="A192" s="61"/>
      <c r="B192" s="61" t="s">
        <v>121</v>
      </c>
      <c r="C192" s="61"/>
      <c r="D192" s="61"/>
      <c r="E192" s="61"/>
      <c r="F192" s="61"/>
      <c r="G192" s="66" t="e">
        <f>#REF!+#REF!</f>
        <v>#REF!</v>
      </c>
      <c r="H192" s="66" t="e">
        <f>#REF!+#REF!+#REF!</f>
        <v>#REF!</v>
      </c>
      <c r="I192" s="65" t="e">
        <f>#REF!+#REF!+#REF!</f>
        <v>#REF!</v>
      </c>
      <c r="J192" s="66"/>
      <c r="K192" s="66"/>
      <c r="L192" s="66"/>
      <c r="M192" s="66"/>
      <c r="N192" s="66"/>
      <c r="O192" s="61"/>
      <c r="P192" s="61"/>
      <c r="Q192" s="61"/>
    </row>
    <row r="193" spans="1:18" s="1" customFormat="1" ht="18.75" hidden="1" x14ac:dyDescent="0.3">
      <c r="A193" s="61"/>
      <c r="B193" s="61" t="s">
        <v>122</v>
      </c>
      <c r="C193" s="61"/>
      <c r="D193" s="61"/>
      <c r="E193" s="61"/>
      <c r="F193" s="61"/>
      <c r="G193" s="64">
        <f>G153</f>
        <v>1705.9</v>
      </c>
      <c r="H193" s="64">
        <f>H153</f>
        <v>1133.0999999999999</v>
      </c>
      <c r="I193" s="65">
        <f>I153</f>
        <v>1153</v>
      </c>
      <c r="J193" s="64"/>
      <c r="K193" s="64"/>
      <c r="L193" s="64"/>
      <c r="M193" s="64"/>
      <c r="N193" s="64"/>
      <c r="O193" s="61"/>
      <c r="P193" s="61"/>
      <c r="Q193" s="61"/>
    </row>
    <row r="194" spans="1:18" s="1" customFormat="1" ht="18.75" hidden="1" x14ac:dyDescent="0.3">
      <c r="A194" s="61"/>
      <c r="B194" s="61" t="s">
        <v>123</v>
      </c>
      <c r="C194" s="61"/>
      <c r="D194" s="61"/>
      <c r="E194" s="61"/>
      <c r="F194" s="61"/>
      <c r="G194" s="64" t="e">
        <f>#REF!+#REF!+#REF!</f>
        <v>#REF!</v>
      </c>
      <c r="H194" s="64" t="e">
        <f>#REF!+#REF!+#REF!</f>
        <v>#REF!</v>
      </c>
      <c r="I194" s="65" t="e">
        <f>#REF!+#REF!+#REF!</f>
        <v>#REF!</v>
      </c>
      <c r="J194" s="64"/>
      <c r="K194" s="64"/>
      <c r="L194" s="64"/>
      <c r="M194" s="64"/>
      <c r="N194" s="64"/>
      <c r="O194" s="61"/>
      <c r="P194" s="61"/>
      <c r="Q194" s="61"/>
    </row>
    <row r="195" spans="1:18" s="1" customFormat="1" ht="18.75" hidden="1" x14ac:dyDescent="0.3">
      <c r="A195" s="61"/>
      <c r="B195" s="61" t="s">
        <v>124</v>
      </c>
      <c r="C195" s="61"/>
      <c r="D195" s="61"/>
      <c r="E195" s="61"/>
      <c r="F195" s="61"/>
      <c r="G195" s="64"/>
      <c r="H195" s="64" t="e">
        <f>#REF!</f>
        <v>#REF!</v>
      </c>
      <c r="I195" s="65"/>
      <c r="J195" s="64"/>
      <c r="K195" s="64"/>
      <c r="L195" s="64"/>
      <c r="M195" s="64"/>
      <c r="N195" s="64"/>
      <c r="O195" s="61"/>
      <c r="P195" s="61"/>
      <c r="Q195" s="61"/>
    </row>
    <row r="196" spans="1:18" s="1" customFormat="1" ht="18.75" hidden="1" x14ac:dyDescent="0.3">
      <c r="A196" s="61"/>
      <c r="B196" s="61" t="s">
        <v>125</v>
      </c>
      <c r="C196" s="61"/>
      <c r="D196" s="61"/>
      <c r="E196" s="61"/>
      <c r="F196" s="61"/>
      <c r="G196" s="64" t="e">
        <f>G186+G189+G190+G191+G192+G193+G194</f>
        <v>#REF!</v>
      </c>
      <c r="H196" s="64" t="e">
        <f>H186+H189+H190+H191+H192+H193+H194+H195</f>
        <v>#REF!</v>
      </c>
      <c r="I196" s="65" t="e">
        <f>I186+I189+I190+I191+I192+I193+I194</f>
        <v>#REF!</v>
      </c>
      <c r="J196" s="64"/>
      <c r="K196" s="64"/>
      <c r="L196" s="64"/>
      <c r="M196" s="64"/>
      <c r="N196" s="64"/>
      <c r="O196" s="61"/>
      <c r="P196" s="61"/>
      <c r="Q196" s="61"/>
    </row>
    <row r="197" spans="1:18" s="1" customFormat="1" ht="18.75" hidden="1" x14ac:dyDescent="0.3">
      <c r="A197" s="61"/>
      <c r="B197" s="61" t="s">
        <v>126</v>
      </c>
      <c r="C197" s="61"/>
      <c r="D197" s="61"/>
      <c r="E197" s="61"/>
      <c r="F197" s="61"/>
      <c r="G197" s="64" t="e">
        <f>G187</f>
        <v>#REF!</v>
      </c>
      <c r="H197" s="64" t="e">
        <f>H187</f>
        <v>#REF!</v>
      </c>
      <c r="I197" s="65" t="e">
        <f>I187</f>
        <v>#REF!</v>
      </c>
      <c r="J197" s="64"/>
      <c r="K197" s="64"/>
      <c r="L197" s="64"/>
      <c r="M197" s="64"/>
      <c r="N197" s="64"/>
      <c r="O197" s="61"/>
      <c r="P197" s="61"/>
      <c r="Q197" s="61"/>
    </row>
    <row r="198" spans="1:18" s="1" customFormat="1" ht="18.75" hidden="1" x14ac:dyDescent="0.3">
      <c r="A198" s="61"/>
      <c r="B198" s="61" t="s">
        <v>127</v>
      </c>
      <c r="C198" s="61"/>
      <c r="D198" s="61"/>
      <c r="E198" s="61"/>
      <c r="F198" s="64"/>
      <c r="G198" s="64" t="e">
        <f>G196+G197</f>
        <v>#REF!</v>
      </c>
      <c r="H198" s="64" t="e">
        <f>H196+H197</f>
        <v>#REF!</v>
      </c>
      <c r="I198" s="65" t="e">
        <f>I196+I197</f>
        <v>#REF!</v>
      </c>
      <c r="J198" s="64"/>
      <c r="K198" s="64"/>
      <c r="L198" s="64"/>
      <c r="M198" s="64"/>
      <c r="N198" s="64"/>
      <c r="O198" s="61"/>
      <c r="P198" s="61"/>
      <c r="Q198" s="61"/>
    </row>
    <row r="199" spans="1:18" s="1" customFormat="1" ht="19.5" x14ac:dyDescent="0.35">
      <c r="A199" s="230" t="s">
        <v>423</v>
      </c>
      <c r="B199" s="230"/>
      <c r="C199" s="230"/>
      <c r="D199" s="230"/>
      <c r="E199" s="230"/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</row>
    <row r="200" spans="1:18" s="1" customFormat="1" ht="20.25" customHeight="1" x14ac:dyDescent="0.3">
      <c r="A200" s="235" t="s">
        <v>424</v>
      </c>
      <c r="B200" s="235"/>
      <c r="C200" s="235"/>
      <c r="D200" s="235"/>
      <c r="E200" s="235"/>
      <c r="F200" s="235"/>
      <c r="G200" s="235"/>
      <c r="H200" s="235"/>
      <c r="I200" s="235"/>
      <c r="J200" s="235"/>
      <c r="K200" s="235"/>
      <c r="L200" s="235"/>
      <c r="M200" s="235"/>
      <c r="N200" s="235"/>
      <c r="O200" s="235"/>
      <c r="P200" s="235"/>
      <c r="Q200" s="235"/>
    </row>
    <row r="201" spans="1:18" s="1" customFormat="1" ht="101.25" customHeight="1" x14ac:dyDescent="0.25">
      <c r="A201" s="144" t="s">
        <v>128</v>
      </c>
      <c r="B201" s="171" t="s">
        <v>129</v>
      </c>
      <c r="C201" s="143" t="s">
        <v>261</v>
      </c>
      <c r="D201" s="107">
        <f t="shared" ref="D201:D207" si="11">SUM(E201:J201)</f>
        <v>97.3</v>
      </c>
      <c r="E201" s="108">
        <v>97.3</v>
      </c>
      <c r="F201" s="108">
        <v>0</v>
      </c>
      <c r="G201" s="108">
        <v>0</v>
      </c>
      <c r="H201" s="108">
        <v>0</v>
      </c>
      <c r="I201" s="109">
        <v>0</v>
      </c>
      <c r="J201" s="21"/>
      <c r="K201" s="21"/>
      <c r="L201" s="21"/>
      <c r="M201" s="21"/>
      <c r="N201" s="21"/>
      <c r="O201" s="113" t="s">
        <v>19</v>
      </c>
      <c r="P201" s="113" t="s">
        <v>279</v>
      </c>
      <c r="Q201" s="182" t="s">
        <v>130</v>
      </c>
    </row>
    <row r="202" spans="1:18" s="1" customFormat="1" ht="93" customHeight="1" x14ac:dyDescent="0.25">
      <c r="A202" s="144"/>
      <c r="B202" s="171"/>
      <c r="C202" s="143"/>
      <c r="D202" s="107">
        <f t="shared" si="11"/>
        <v>240</v>
      </c>
      <c r="E202" s="107">
        <v>0</v>
      </c>
      <c r="F202" s="107">
        <v>0</v>
      </c>
      <c r="G202" s="107">
        <v>0</v>
      </c>
      <c r="H202" s="107">
        <v>0</v>
      </c>
      <c r="I202" s="114">
        <v>240</v>
      </c>
      <c r="J202" s="55">
        <v>0</v>
      </c>
      <c r="K202" s="55">
        <v>0</v>
      </c>
      <c r="L202" s="55">
        <v>0</v>
      </c>
      <c r="M202" s="55">
        <v>0</v>
      </c>
      <c r="N202" s="55">
        <v>0</v>
      </c>
      <c r="O202" s="113" t="s">
        <v>510</v>
      </c>
      <c r="P202" s="113" t="s">
        <v>192</v>
      </c>
      <c r="Q202" s="182"/>
    </row>
    <row r="203" spans="1:18" s="1" customFormat="1" ht="140.25" customHeight="1" x14ac:dyDescent="0.25">
      <c r="A203" s="144" t="s">
        <v>131</v>
      </c>
      <c r="B203" s="143" t="s">
        <v>132</v>
      </c>
      <c r="C203" s="143" t="s">
        <v>261</v>
      </c>
      <c r="D203" s="107">
        <f t="shared" si="11"/>
        <v>586</v>
      </c>
      <c r="E203" s="107">
        <v>586</v>
      </c>
      <c r="F203" s="107">
        <v>0</v>
      </c>
      <c r="G203" s="107">
        <v>0</v>
      </c>
      <c r="H203" s="107">
        <v>0</v>
      </c>
      <c r="I203" s="114">
        <v>0</v>
      </c>
      <c r="J203" s="55"/>
      <c r="K203" s="55"/>
      <c r="L203" s="55"/>
      <c r="M203" s="55"/>
      <c r="N203" s="55"/>
      <c r="O203" s="113" t="s">
        <v>19</v>
      </c>
      <c r="P203" s="113" t="s">
        <v>279</v>
      </c>
      <c r="Q203" s="182" t="s">
        <v>511</v>
      </c>
    </row>
    <row r="204" spans="1:18" s="1" customFormat="1" ht="93" customHeight="1" x14ac:dyDescent="0.25">
      <c r="A204" s="144"/>
      <c r="B204" s="143"/>
      <c r="C204" s="143"/>
      <c r="D204" s="106">
        <f>SUM(E204:M204)</f>
        <v>6803.2699999999995</v>
      </c>
      <c r="E204" s="108">
        <v>0</v>
      </c>
      <c r="F204" s="108">
        <v>0</v>
      </c>
      <c r="G204" s="108">
        <v>0</v>
      </c>
      <c r="H204" s="108">
        <v>0</v>
      </c>
      <c r="I204" s="109">
        <v>870.67</v>
      </c>
      <c r="J204" s="109">
        <v>499.94</v>
      </c>
      <c r="K204" s="114">
        <v>360.67</v>
      </c>
      <c r="L204" s="109">
        <v>5071.99</v>
      </c>
      <c r="M204" s="114">
        <v>0</v>
      </c>
      <c r="N204" s="114">
        <v>0</v>
      </c>
      <c r="O204" s="113" t="s">
        <v>458</v>
      </c>
      <c r="P204" s="113" t="s">
        <v>192</v>
      </c>
      <c r="Q204" s="182"/>
      <c r="R204" s="44"/>
    </row>
    <row r="205" spans="1:18" s="1" customFormat="1" ht="105.75" customHeight="1" x14ac:dyDescent="0.25">
      <c r="A205" s="144" t="s">
        <v>133</v>
      </c>
      <c r="B205" s="143" t="s">
        <v>228</v>
      </c>
      <c r="C205" s="143" t="s">
        <v>261</v>
      </c>
      <c r="D205" s="55">
        <f t="shared" si="11"/>
        <v>0</v>
      </c>
      <c r="E205" s="55">
        <v>0</v>
      </c>
      <c r="F205" s="55">
        <v>0</v>
      </c>
      <c r="G205" s="55">
        <v>0</v>
      </c>
      <c r="H205" s="55">
        <v>0</v>
      </c>
      <c r="I205" s="114">
        <v>0</v>
      </c>
      <c r="J205" s="55"/>
      <c r="K205" s="55"/>
      <c r="L205" s="55"/>
      <c r="M205" s="55"/>
      <c r="N205" s="55"/>
      <c r="O205" s="111" t="s">
        <v>19</v>
      </c>
      <c r="P205" s="111" t="s">
        <v>279</v>
      </c>
      <c r="Q205" s="94" t="s">
        <v>304</v>
      </c>
    </row>
    <row r="206" spans="1:18" s="1" customFormat="1" ht="69.75" customHeight="1" x14ac:dyDescent="0.25">
      <c r="A206" s="144"/>
      <c r="B206" s="143"/>
      <c r="C206" s="143"/>
      <c r="D206" s="114">
        <f t="shared" si="11"/>
        <v>5129</v>
      </c>
      <c r="E206" s="109">
        <f>1129+4000</f>
        <v>5129</v>
      </c>
      <c r="F206" s="21">
        <v>0</v>
      </c>
      <c r="G206" s="21">
        <v>0</v>
      </c>
      <c r="H206" s="21">
        <v>0</v>
      </c>
      <c r="I206" s="109">
        <v>0</v>
      </c>
      <c r="J206" s="21"/>
      <c r="K206" s="21"/>
      <c r="L206" s="21"/>
      <c r="M206" s="21"/>
      <c r="N206" s="21"/>
      <c r="O206" s="111" t="s">
        <v>19</v>
      </c>
      <c r="P206" s="111" t="s">
        <v>229</v>
      </c>
      <c r="Q206" s="94" t="s">
        <v>134</v>
      </c>
    </row>
    <row r="207" spans="1:18" s="1" customFormat="1" ht="175.5" customHeight="1" x14ac:dyDescent="0.25">
      <c r="A207" s="144"/>
      <c r="B207" s="143"/>
      <c r="C207" s="143"/>
      <c r="D207" s="114">
        <f t="shared" si="11"/>
        <v>19378</v>
      </c>
      <c r="E207" s="21">
        <v>0</v>
      </c>
      <c r="F207" s="21">
        <v>0</v>
      </c>
      <c r="G207" s="21">
        <v>4721.1000000000004</v>
      </c>
      <c r="H207" s="109">
        <v>14656.9</v>
      </c>
      <c r="I207" s="109">
        <v>0</v>
      </c>
      <c r="J207" s="109"/>
      <c r="K207" s="109"/>
      <c r="L207" s="109"/>
      <c r="M207" s="109"/>
      <c r="N207" s="109"/>
      <c r="O207" s="113" t="s">
        <v>285</v>
      </c>
      <c r="P207" s="192" t="s">
        <v>192</v>
      </c>
      <c r="Q207" s="119" t="s">
        <v>361</v>
      </c>
    </row>
    <row r="208" spans="1:18" s="1" customFormat="1" ht="241.5" customHeight="1" x14ac:dyDescent="0.25">
      <c r="A208" s="144"/>
      <c r="B208" s="184" t="s">
        <v>342</v>
      </c>
      <c r="C208" s="143"/>
      <c r="D208" s="114">
        <f>I208+J208+K208+L208+M208</f>
        <v>4831.79</v>
      </c>
      <c r="E208" s="21"/>
      <c r="F208" s="21"/>
      <c r="G208" s="21"/>
      <c r="H208" s="109"/>
      <c r="I208" s="109">
        <v>499.99</v>
      </c>
      <c r="J208" s="109">
        <v>1131.8</v>
      </c>
      <c r="K208" s="114">
        <v>1000</v>
      </c>
      <c r="L208" s="109">
        <v>2200</v>
      </c>
      <c r="M208" s="114">
        <v>0</v>
      </c>
      <c r="N208" s="114">
        <v>0</v>
      </c>
      <c r="O208" s="113" t="s">
        <v>463</v>
      </c>
      <c r="P208" s="192"/>
      <c r="Q208" s="119" t="s">
        <v>535</v>
      </c>
      <c r="R208" s="44"/>
    </row>
    <row r="209" spans="1:18" s="1" customFormat="1" ht="117" customHeight="1" x14ac:dyDescent="0.25">
      <c r="A209" s="144"/>
      <c r="B209" s="184"/>
      <c r="C209" s="143"/>
      <c r="D209" s="114">
        <f>SUM(E209:N209)</f>
        <v>105528.09</v>
      </c>
      <c r="E209" s="21"/>
      <c r="F209" s="21"/>
      <c r="G209" s="21"/>
      <c r="H209" s="21"/>
      <c r="I209" s="109">
        <v>34597.599999999999</v>
      </c>
      <c r="J209" s="109">
        <v>18610.650000000001</v>
      </c>
      <c r="K209" s="114">
        <v>25119.84</v>
      </c>
      <c r="L209" s="109">
        <v>27200</v>
      </c>
      <c r="M209" s="109">
        <v>0</v>
      </c>
      <c r="N209" s="109">
        <v>0</v>
      </c>
      <c r="O209" s="113" t="s">
        <v>463</v>
      </c>
      <c r="P209" s="113" t="s">
        <v>254</v>
      </c>
      <c r="Q209" s="119" t="s">
        <v>512</v>
      </c>
      <c r="R209" s="44"/>
    </row>
    <row r="210" spans="1:18" s="1" customFormat="1" ht="98.25" customHeight="1" x14ac:dyDescent="0.25">
      <c r="A210" s="144"/>
      <c r="B210" s="184"/>
      <c r="C210" s="143"/>
      <c r="D210" s="114">
        <f>SUM(E210:N210)</f>
        <v>15334.849999999999</v>
      </c>
      <c r="E210" s="21"/>
      <c r="F210" s="21"/>
      <c r="G210" s="21"/>
      <c r="H210" s="21"/>
      <c r="I210" s="109">
        <v>800</v>
      </c>
      <c r="J210" s="109">
        <v>1073.55</v>
      </c>
      <c r="K210" s="114">
        <v>8404.6</v>
      </c>
      <c r="L210" s="109">
        <v>5056.7</v>
      </c>
      <c r="M210" s="109">
        <v>0</v>
      </c>
      <c r="N210" s="109">
        <v>0</v>
      </c>
      <c r="O210" s="111" t="s">
        <v>463</v>
      </c>
      <c r="P210" s="111" t="s">
        <v>255</v>
      </c>
      <c r="Q210" s="94" t="s">
        <v>476</v>
      </c>
      <c r="R210" s="44"/>
    </row>
    <row r="211" spans="1:18" s="1" customFormat="1" ht="96" customHeight="1" x14ac:dyDescent="0.25">
      <c r="A211" s="144"/>
      <c r="B211" s="184"/>
      <c r="C211" s="143"/>
      <c r="D211" s="114">
        <f>SUM(E211:N211)</f>
        <v>63357.29</v>
      </c>
      <c r="E211" s="21"/>
      <c r="F211" s="21"/>
      <c r="G211" s="21"/>
      <c r="H211" s="21"/>
      <c r="I211" s="109">
        <v>3595.37</v>
      </c>
      <c r="J211" s="109">
        <v>8337.2199999999993</v>
      </c>
      <c r="K211" s="114">
        <v>10799.2</v>
      </c>
      <c r="L211" s="109">
        <v>11000</v>
      </c>
      <c r="M211" s="109">
        <v>12624.1</v>
      </c>
      <c r="N211" s="109">
        <v>17001.400000000001</v>
      </c>
      <c r="O211" s="113" t="s">
        <v>463</v>
      </c>
      <c r="P211" s="113" t="s">
        <v>204</v>
      </c>
      <c r="Q211" s="119" t="s">
        <v>513</v>
      </c>
      <c r="R211" s="44"/>
    </row>
    <row r="212" spans="1:18" s="1" customFormat="1" ht="117" customHeight="1" x14ac:dyDescent="0.25">
      <c r="A212" s="144" t="s">
        <v>197</v>
      </c>
      <c r="B212" s="143" t="s">
        <v>225</v>
      </c>
      <c r="C212" s="143" t="s">
        <v>261</v>
      </c>
      <c r="D212" s="21">
        <f t="shared" ref="D212:D220" si="12">SUM(E212:J212)</f>
        <v>0</v>
      </c>
      <c r="E212" s="21">
        <v>0</v>
      </c>
      <c r="F212" s="21">
        <v>0</v>
      </c>
      <c r="G212" s="21">
        <v>0</v>
      </c>
      <c r="H212" s="21">
        <v>0</v>
      </c>
      <c r="I212" s="109">
        <v>0</v>
      </c>
      <c r="J212" s="21"/>
      <c r="K212" s="21"/>
      <c r="L212" s="21"/>
      <c r="M212" s="21"/>
      <c r="N212" s="21"/>
      <c r="O212" s="113" t="s">
        <v>270</v>
      </c>
      <c r="P212" s="113" t="s">
        <v>192</v>
      </c>
      <c r="Q212" s="119" t="s">
        <v>198</v>
      </c>
    </row>
    <row r="213" spans="1:18" s="1" customFormat="1" ht="95.25" customHeight="1" x14ac:dyDescent="0.25">
      <c r="A213" s="144"/>
      <c r="B213" s="143"/>
      <c r="C213" s="143"/>
      <c r="D213" s="55">
        <f>SUM(E213:M213)</f>
        <v>126.11</v>
      </c>
      <c r="E213" s="21"/>
      <c r="F213" s="21"/>
      <c r="G213" s="21"/>
      <c r="H213" s="21"/>
      <c r="I213" s="109">
        <v>27</v>
      </c>
      <c r="J213" s="21">
        <v>33</v>
      </c>
      <c r="K213" s="55">
        <v>33</v>
      </c>
      <c r="L213" s="21">
        <v>33.11</v>
      </c>
      <c r="M213" s="21">
        <v>0</v>
      </c>
      <c r="N213" s="21">
        <v>0</v>
      </c>
      <c r="O213" s="113" t="s">
        <v>463</v>
      </c>
      <c r="P213" s="113" t="s">
        <v>254</v>
      </c>
      <c r="Q213" s="184" t="s">
        <v>536</v>
      </c>
    </row>
    <row r="214" spans="1:18" s="1" customFormat="1" ht="98.25" customHeight="1" x14ac:dyDescent="0.25">
      <c r="A214" s="144"/>
      <c r="B214" s="143"/>
      <c r="C214" s="143"/>
      <c r="D214" s="55">
        <f t="shared" si="12"/>
        <v>0</v>
      </c>
      <c r="E214" s="21"/>
      <c r="F214" s="21"/>
      <c r="G214" s="21"/>
      <c r="H214" s="21"/>
      <c r="I214" s="109">
        <v>0</v>
      </c>
      <c r="J214" s="21">
        <v>0</v>
      </c>
      <c r="K214" s="21"/>
      <c r="L214" s="21"/>
      <c r="M214" s="21"/>
      <c r="N214" s="21"/>
      <c r="O214" s="113" t="s">
        <v>268</v>
      </c>
      <c r="P214" s="113" t="s">
        <v>204</v>
      </c>
      <c r="Q214" s="184"/>
    </row>
    <row r="215" spans="1:18" s="1" customFormat="1" ht="93" customHeight="1" x14ac:dyDescent="0.25">
      <c r="A215" s="144"/>
      <c r="B215" s="143"/>
      <c r="C215" s="143"/>
      <c r="D215" s="55">
        <f>SUM(E215:M215)</f>
        <v>28.04</v>
      </c>
      <c r="E215" s="21"/>
      <c r="F215" s="21"/>
      <c r="G215" s="21"/>
      <c r="H215" s="21"/>
      <c r="I215" s="109">
        <v>4</v>
      </c>
      <c r="J215" s="21">
        <v>8.0399999999999991</v>
      </c>
      <c r="K215" s="21">
        <v>0</v>
      </c>
      <c r="L215" s="21">
        <v>16</v>
      </c>
      <c r="M215" s="21">
        <v>0</v>
      </c>
      <c r="N215" s="21">
        <v>0</v>
      </c>
      <c r="O215" s="113" t="s">
        <v>463</v>
      </c>
      <c r="P215" s="113" t="s">
        <v>255</v>
      </c>
      <c r="Q215" s="184"/>
    </row>
    <row r="216" spans="1:18" s="1" customFormat="1" ht="87.75" customHeight="1" x14ac:dyDescent="0.25">
      <c r="A216" s="115" t="s">
        <v>199</v>
      </c>
      <c r="B216" s="93" t="s">
        <v>135</v>
      </c>
      <c r="C216" s="94" t="s">
        <v>261</v>
      </c>
      <c r="D216" s="21">
        <f t="shared" si="12"/>
        <v>0</v>
      </c>
      <c r="E216" s="21">
        <v>0</v>
      </c>
      <c r="F216" s="21">
        <v>0</v>
      </c>
      <c r="G216" s="21">
        <v>0</v>
      </c>
      <c r="H216" s="21">
        <v>0</v>
      </c>
      <c r="I216" s="109">
        <v>0</v>
      </c>
      <c r="J216" s="21"/>
      <c r="K216" s="21"/>
      <c r="L216" s="21"/>
      <c r="M216" s="21"/>
      <c r="N216" s="21"/>
      <c r="O216" s="111" t="s">
        <v>284</v>
      </c>
      <c r="P216" s="111" t="s">
        <v>192</v>
      </c>
      <c r="Q216" s="94" t="s">
        <v>136</v>
      </c>
    </row>
    <row r="217" spans="1:18" s="1" customFormat="1" ht="121.5" customHeight="1" x14ac:dyDescent="0.25">
      <c r="A217" s="115" t="s">
        <v>200</v>
      </c>
      <c r="B217" s="93" t="s">
        <v>191</v>
      </c>
      <c r="C217" s="94" t="s">
        <v>261</v>
      </c>
      <c r="D217" s="21">
        <f t="shared" si="12"/>
        <v>0</v>
      </c>
      <c r="E217" s="21">
        <v>0</v>
      </c>
      <c r="F217" s="21">
        <v>0</v>
      </c>
      <c r="G217" s="21">
        <v>0</v>
      </c>
      <c r="H217" s="21" t="s">
        <v>230</v>
      </c>
      <c r="I217" s="109">
        <v>0</v>
      </c>
      <c r="J217" s="21"/>
      <c r="K217" s="21"/>
      <c r="L217" s="21"/>
      <c r="M217" s="21"/>
      <c r="N217" s="21"/>
      <c r="O217" s="111" t="s">
        <v>270</v>
      </c>
      <c r="P217" s="111" t="s">
        <v>192</v>
      </c>
      <c r="Q217" s="94" t="s">
        <v>193</v>
      </c>
    </row>
    <row r="218" spans="1:18" s="1" customFormat="1" ht="126.75" customHeight="1" x14ac:dyDescent="0.25">
      <c r="A218" s="129" t="s">
        <v>201</v>
      </c>
      <c r="B218" s="112" t="s">
        <v>194</v>
      </c>
      <c r="C218" s="119" t="s">
        <v>261</v>
      </c>
      <c r="D218" s="114">
        <f t="shared" si="12"/>
        <v>1005.4</v>
      </c>
      <c r="E218" s="55">
        <v>0</v>
      </c>
      <c r="F218" s="55">
        <v>0</v>
      </c>
      <c r="G218" s="55">
        <v>0</v>
      </c>
      <c r="H218" s="55">
        <v>0</v>
      </c>
      <c r="I218" s="114">
        <v>1005.4</v>
      </c>
      <c r="J218" s="55"/>
      <c r="K218" s="55"/>
      <c r="L218" s="55"/>
      <c r="M218" s="55"/>
      <c r="N218" s="55"/>
      <c r="O218" s="113" t="s">
        <v>268</v>
      </c>
      <c r="P218" s="113" t="s">
        <v>192</v>
      </c>
      <c r="Q218" s="119" t="s">
        <v>303</v>
      </c>
    </row>
    <row r="219" spans="1:18" s="1" customFormat="1" ht="201" customHeight="1" x14ac:dyDescent="0.25">
      <c r="A219" s="129" t="s">
        <v>294</v>
      </c>
      <c r="B219" s="112" t="s">
        <v>296</v>
      </c>
      <c r="C219" s="119" t="s">
        <v>261</v>
      </c>
      <c r="D219" s="114">
        <f t="shared" si="12"/>
        <v>600.94000000000005</v>
      </c>
      <c r="E219" s="55">
        <v>0</v>
      </c>
      <c r="F219" s="55">
        <v>0</v>
      </c>
      <c r="G219" s="55">
        <v>0</v>
      </c>
      <c r="H219" s="55">
        <v>0</v>
      </c>
      <c r="I219" s="114">
        <v>600.94000000000005</v>
      </c>
      <c r="J219" s="55"/>
      <c r="K219" s="55"/>
      <c r="L219" s="55"/>
      <c r="M219" s="55"/>
      <c r="N219" s="55"/>
      <c r="O219" s="113" t="s">
        <v>268</v>
      </c>
      <c r="P219" s="113" t="s">
        <v>192</v>
      </c>
      <c r="Q219" s="119" t="s">
        <v>260</v>
      </c>
    </row>
    <row r="220" spans="1:18" s="1" customFormat="1" ht="195.75" customHeight="1" x14ac:dyDescent="0.25">
      <c r="A220" s="129" t="s">
        <v>202</v>
      </c>
      <c r="B220" s="112" t="s">
        <v>195</v>
      </c>
      <c r="C220" s="119" t="s">
        <v>261</v>
      </c>
      <c r="D220" s="106">
        <f t="shared" si="12"/>
        <v>0</v>
      </c>
      <c r="E220" s="55">
        <v>0</v>
      </c>
      <c r="F220" s="55">
        <v>0</v>
      </c>
      <c r="G220" s="55">
        <v>0</v>
      </c>
      <c r="H220" s="55">
        <v>0</v>
      </c>
      <c r="I220" s="114">
        <v>0</v>
      </c>
      <c r="J220" s="55">
        <v>0</v>
      </c>
      <c r="K220" s="55">
        <v>0</v>
      </c>
      <c r="L220" s="55"/>
      <c r="M220" s="55"/>
      <c r="N220" s="55"/>
      <c r="O220" s="113" t="s">
        <v>514</v>
      </c>
      <c r="P220" s="113" t="s">
        <v>192</v>
      </c>
      <c r="Q220" s="119" t="s">
        <v>196</v>
      </c>
    </row>
    <row r="221" spans="1:18" s="1" customFormat="1" ht="105.75" customHeight="1" x14ac:dyDescent="0.25">
      <c r="A221" s="129" t="s">
        <v>295</v>
      </c>
      <c r="B221" s="112" t="s">
        <v>231</v>
      </c>
      <c r="C221" s="119" t="s">
        <v>261</v>
      </c>
      <c r="D221" s="114">
        <f>SUM(E221:N221)</f>
        <v>8483.7999999999993</v>
      </c>
      <c r="E221" s="55">
        <v>0</v>
      </c>
      <c r="F221" s="55">
        <v>0</v>
      </c>
      <c r="G221" s="55">
        <v>0</v>
      </c>
      <c r="H221" s="55">
        <v>0</v>
      </c>
      <c r="I221" s="114">
        <v>328.34</v>
      </c>
      <c r="J221" s="114">
        <v>490.6</v>
      </c>
      <c r="K221" s="114">
        <v>57.42</v>
      </c>
      <c r="L221" s="114">
        <v>94.8</v>
      </c>
      <c r="M221" s="114">
        <v>3756.3</v>
      </c>
      <c r="N221" s="114">
        <v>3756.34</v>
      </c>
      <c r="O221" s="113" t="s">
        <v>463</v>
      </c>
      <c r="P221" s="113" t="s">
        <v>192</v>
      </c>
      <c r="Q221" s="119" t="s">
        <v>232</v>
      </c>
    </row>
    <row r="222" spans="1:18" s="1" customFormat="1" ht="18.75" x14ac:dyDescent="0.25">
      <c r="A222" s="104"/>
      <c r="B222" s="59" t="s">
        <v>431</v>
      </c>
      <c r="C222" s="59"/>
      <c r="D222" s="106">
        <f>SUM(E222:W222)</f>
        <v>231529.88</v>
      </c>
      <c r="E222" s="106">
        <f>SUM(E201:E221)</f>
        <v>5812.3</v>
      </c>
      <c r="F222" s="107">
        <f>SUM(F201:F221)</f>
        <v>0</v>
      </c>
      <c r="G222" s="107">
        <v>4721.1000000000004</v>
      </c>
      <c r="H222" s="106">
        <f>H207</f>
        <v>14656.9</v>
      </c>
      <c r="I222" s="114">
        <f>I221+I204+I212+I209+I210+I218+I220+I211+I213+I208+I215+I219+I202</f>
        <v>42569.310000000005</v>
      </c>
      <c r="J222" s="114">
        <f>J204+J208+J209+J210+J211+J213+J215+J221</f>
        <v>30184.800000000003</v>
      </c>
      <c r="K222" s="114">
        <f>K204+K208+K209+K210+K211+K213+K221</f>
        <v>45774.729999999996</v>
      </c>
      <c r="L222" s="114">
        <f>L204+L208+L209+L210+L211+L213+L215+L221</f>
        <v>50672.6</v>
      </c>
      <c r="M222" s="114">
        <f>M211+M221</f>
        <v>16380.400000000001</v>
      </c>
      <c r="N222" s="114">
        <f>N211+N221</f>
        <v>20757.740000000002</v>
      </c>
      <c r="O222" s="113"/>
      <c r="P222" s="113"/>
      <c r="Q222" s="113"/>
    </row>
    <row r="223" spans="1:18" s="1" customFormat="1" ht="18.75" customHeight="1" x14ac:dyDescent="0.3">
      <c r="A223" s="196" t="s">
        <v>425</v>
      </c>
      <c r="B223" s="196"/>
      <c r="C223" s="196"/>
      <c r="D223" s="196"/>
      <c r="E223" s="196"/>
      <c r="F223" s="196"/>
      <c r="G223" s="196"/>
      <c r="H223" s="196"/>
      <c r="I223" s="196"/>
      <c r="J223" s="196"/>
      <c r="K223" s="196"/>
      <c r="L223" s="196"/>
      <c r="M223" s="196"/>
      <c r="N223" s="196"/>
      <c r="O223" s="196"/>
      <c r="P223" s="196"/>
      <c r="Q223" s="196"/>
    </row>
    <row r="224" spans="1:18" s="1" customFormat="1" ht="54" customHeight="1" x14ac:dyDescent="0.25">
      <c r="A224" s="174" t="s">
        <v>137</v>
      </c>
      <c r="B224" s="182" t="s">
        <v>355</v>
      </c>
      <c r="C224" s="184" t="s">
        <v>261</v>
      </c>
      <c r="D224" s="162">
        <f>SUM(E224:J224)</f>
        <v>11163.98626</v>
      </c>
      <c r="E224" s="162">
        <v>9123.6</v>
      </c>
      <c r="F224" s="162">
        <v>2040.38626</v>
      </c>
      <c r="G224" s="155">
        <v>0</v>
      </c>
      <c r="H224" s="155">
        <v>0</v>
      </c>
      <c r="I224" s="185">
        <v>0</v>
      </c>
      <c r="J224" s="155"/>
      <c r="K224" s="155"/>
      <c r="L224" s="155"/>
      <c r="M224" s="155"/>
      <c r="N224" s="155"/>
      <c r="O224" s="192" t="s">
        <v>282</v>
      </c>
      <c r="P224" s="192" t="s">
        <v>279</v>
      </c>
      <c r="Q224" s="112" t="s">
        <v>138</v>
      </c>
    </row>
    <row r="225" spans="1:18" s="1" customFormat="1" ht="108" customHeight="1" x14ac:dyDescent="0.25">
      <c r="A225" s="174"/>
      <c r="B225" s="182"/>
      <c r="C225" s="184"/>
      <c r="D225" s="162"/>
      <c r="E225" s="162"/>
      <c r="F225" s="162"/>
      <c r="G225" s="155"/>
      <c r="H225" s="155"/>
      <c r="I225" s="185"/>
      <c r="J225" s="155"/>
      <c r="K225" s="155"/>
      <c r="L225" s="155"/>
      <c r="M225" s="155"/>
      <c r="N225" s="155"/>
      <c r="O225" s="192"/>
      <c r="P225" s="192"/>
      <c r="Q225" s="112" t="s">
        <v>139</v>
      </c>
    </row>
    <row r="226" spans="1:18" s="1" customFormat="1" ht="46.5" customHeight="1" x14ac:dyDescent="0.25">
      <c r="A226" s="174"/>
      <c r="B226" s="182"/>
      <c r="C226" s="184"/>
      <c r="D226" s="162"/>
      <c r="E226" s="162"/>
      <c r="F226" s="162"/>
      <c r="G226" s="155"/>
      <c r="H226" s="155"/>
      <c r="I226" s="185"/>
      <c r="J226" s="155"/>
      <c r="K226" s="155"/>
      <c r="L226" s="155"/>
      <c r="M226" s="155"/>
      <c r="N226" s="155"/>
      <c r="O226" s="192"/>
      <c r="P226" s="192"/>
      <c r="Q226" s="112" t="s">
        <v>140</v>
      </c>
    </row>
    <row r="227" spans="1:18" s="1" customFormat="1" ht="386.25" customHeight="1" x14ac:dyDescent="0.25">
      <c r="A227" s="174"/>
      <c r="B227" s="182"/>
      <c r="C227" s="112"/>
      <c r="D227" s="106">
        <f>SUM(E227:L227)</f>
        <v>90046.760799999989</v>
      </c>
      <c r="E227" s="107">
        <v>0</v>
      </c>
      <c r="F227" s="106">
        <v>6698.9308000000001</v>
      </c>
      <c r="G227" s="106">
        <v>3854.3</v>
      </c>
      <c r="H227" s="106">
        <v>20634.099999999999</v>
      </c>
      <c r="I227" s="114">
        <v>27905.17</v>
      </c>
      <c r="J227" s="114">
        <v>18666.89</v>
      </c>
      <c r="K227" s="114">
        <v>12287.37</v>
      </c>
      <c r="L227" s="114"/>
      <c r="M227" s="114"/>
      <c r="N227" s="114"/>
      <c r="O227" s="113" t="s">
        <v>515</v>
      </c>
      <c r="P227" s="113" t="s">
        <v>192</v>
      </c>
      <c r="Q227" s="112" t="s">
        <v>516</v>
      </c>
      <c r="R227" s="44"/>
    </row>
    <row r="228" spans="1:18" s="1" customFormat="1" ht="319.5" customHeight="1" x14ac:dyDescent="0.25">
      <c r="A228" s="174"/>
      <c r="B228" s="112" t="s">
        <v>451</v>
      </c>
      <c r="C228" s="112" t="s">
        <v>261</v>
      </c>
      <c r="D228" s="106">
        <f>L228+M228+N228</f>
        <v>98151.76999999999</v>
      </c>
      <c r="E228" s="107"/>
      <c r="F228" s="106"/>
      <c r="G228" s="106"/>
      <c r="H228" s="106"/>
      <c r="I228" s="114"/>
      <c r="J228" s="114"/>
      <c r="K228" s="114"/>
      <c r="L228" s="114">
        <v>25000</v>
      </c>
      <c r="M228" s="114">
        <v>51821.93</v>
      </c>
      <c r="N228" s="114">
        <v>21329.84</v>
      </c>
      <c r="O228" s="113" t="s">
        <v>461</v>
      </c>
      <c r="P228" s="113" t="s">
        <v>192</v>
      </c>
      <c r="Q228" s="112" t="s">
        <v>517</v>
      </c>
      <c r="R228" s="44"/>
    </row>
    <row r="229" spans="1:18" s="1" customFormat="1" ht="37.5" customHeight="1" x14ac:dyDescent="0.25">
      <c r="A229" s="144" t="s">
        <v>141</v>
      </c>
      <c r="B229" s="143" t="s">
        <v>207</v>
      </c>
      <c r="C229" s="143" t="s">
        <v>261</v>
      </c>
      <c r="D229" s="162">
        <f>SUM(E229:J229)</f>
        <v>9214.4</v>
      </c>
      <c r="E229" s="162">
        <v>9214.4</v>
      </c>
      <c r="F229" s="155">
        <v>0</v>
      </c>
      <c r="G229" s="155">
        <v>0</v>
      </c>
      <c r="H229" s="155">
        <v>0</v>
      </c>
      <c r="I229" s="185">
        <v>0</v>
      </c>
      <c r="J229" s="155"/>
      <c r="K229" s="155"/>
      <c r="L229" s="155"/>
      <c r="M229" s="167"/>
      <c r="N229" s="167"/>
      <c r="O229" s="156" t="s">
        <v>19</v>
      </c>
      <c r="P229" s="156" t="s">
        <v>279</v>
      </c>
      <c r="Q229" s="93" t="s">
        <v>142</v>
      </c>
    </row>
    <row r="230" spans="1:18" s="1" customFormat="1" ht="38.25" customHeight="1" x14ac:dyDescent="0.25">
      <c r="A230" s="144"/>
      <c r="B230" s="143"/>
      <c r="C230" s="143"/>
      <c r="D230" s="162"/>
      <c r="E230" s="162"/>
      <c r="F230" s="155"/>
      <c r="G230" s="155"/>
      <c r="H230" s="155"/>
      <c r="I230" s="185"/>
      <c r="J230" s="155"/>
      <c r="K230" s="155"/>
      <c r="L230" s="155"/>
      <c r="M230" s="168"/>
      <c r="N230" s="168"/>
      <c r="O230" s="156"/>
      <c r="P230" s="156"/>
      <c r="Q230" s="93" t="s">
        <v>143</v>
      </c>
    </row>
    <row r="231" spans="1:18" s="1" customFormat="1" ht="51.75" customHeight="1" x14ac:dyDescent="0.25">
      <c r="A231" s="144"/>
      <c r="B231" s="143"/>
      <c r="C231" s="143"/>
      <c r="D231" s="162"/>
      <c r="E231" s="162"/>
      <c r="F231" s="155"/>
      <c r="G231" s="155"/>
      <c r="H231" s="155"/>
      <c r="I231" s="185"/>
      <c r="J231" s="155"/>
      <c r="K231" s="155"/>
      <c r="L231" s="155"/>
      <c r="M231" s="169"/>
      <c r="N231" s="169"/>
      <c r="O231" s="156"/>
      <c r="P231" s="156"/>
      <c r="Q231" s="93" t="s">
        <v>144</v>
      </c>
    </row>
    <row r="232" spans="1:18" s="1" customFormat="1" ht="87.75" customHeight="1" x14ac:dyDescent="0.25">
      <c r="A232" s="144"/>
      <c r="B232" s="143"/>
      <c r="C232" s="143"/>
      <c r="D232" s="106">
        <f>SUM(E232:N232)</f>
        <v>467077.39277000003</v>
      </c>
      <c r="E232" s="107">
        <v>0</v>
      </c>
      <c r="F232" s="110">
        <v>27248.47277</v>
      </c>
      <c r="G232" s="110">
        <v>43243.199999999997</v>
      </c>
      <c r="H232" s="110">
        <v>28169.200000000001</v>
      </c>
      <c r="I232" s="109">
        <v>62223.64</v>
      </c>
      <c r="J232" s="109">
        <v>55253.2</v>
      </c>
      <c r="K232" s="114">
        <v>37044.639999999999</v>
      </c>
      <c r="L232" s="109">
        <v>72605.14</v>
      </c>
      <c r="M232" s="114">
        <v>65567.199999999997</v>
      </c>
      <c r="N232" s="109">
        <v>75722.7</v>
      </c>
      <c r="O232" s="113" t="s">
        <v>458</v>
      </c>
      <c r="P232" s="192" t="s">
        <v>192</v>
      </c>
      <c r="Q232" s="184" t="s">
        <v>518</v>
      </c>
    </row>
    <row r="233" spans="1:18" s="1" customFormat="1" ht="124.5" customHeight="1" x14ac:dyDescent="0.25">
      <c r="A233" s="144"/>
      <c r="B233" s="143"/>
      <c r="C233" s="119" t="s">
        <v>18</v>
      </c>
      <c r="D233" s="114">
        <f>J233</f>
        <v>1120.3499999999999</v>
      </c>
      <c r="E233" s="107"/>
      <c r="F233" s="106"/>
      <c r="G233" s="106"/>
      <c r="H233" s="106"/>
      <c r="I233" s="114"/>
      <c r="J233" s="109">
        <v>1120.3499999999999</v>
      </c>
      <c r="K233" s="109"/>
      <c r="L233" s="109"/>
      <c r="M233" s="109"/>
      <c r="N233" s="109"/>
      <c r="O233" s="192" t="s">
        <v>309</v>
      </c>
      <c r="P233" s="192"/>
      <c r="Q233" s="184"/>
    </row>
    <row r="234" spans="1:18" s="1" customFormat="1" ht="67.5" customHeight="1" x14ac:dyDescent="0.25">
      <c r="A234" s="144"/>
      <c r="B234" s="143"/>
      <c r="C234" s="119" t="s">
        <v>184</v>
      </c>
      <c r="D234" s="114">
        <f>J234</f>
        <v>1.1000000000000001</v>
      </c>
      <c r="E234" s="107"/>
      <c r="F234" s="106"/>
      <c r="G234" s="106"/>
      <c r="H234" s="106"/>
      <c r="I234" s="114"/>
      <c r="J234" s="109">
        <v>1.1000000000000001</v>
      </c>
      <c r="K234" s="109"/>
      <c r="L234" s="109"/>
      <c r="M234" s="109"/>
      <c r="N234" s="109"/>
      <c r="O234" s="192"/>
      <c r="P234" s="192"/>
      <c r="Q234" s="184"/>
    </row>
    <row r="235" spans="1:18" s="1" customFormat="1" ht="157.5" customHeight="1" x14ac:dyDescent="0.25">
      <c r="A235" s="164" t="s">
        <v>145</v>
      </c>
      <c r="B235" s="189" t="s">
        <v>189</v>
      </c>
      <c r="C235" s="143" t="s">
        <v>261</v>
      </c>
      <c r="D235" s="162">
        <f>SUM(E235:J235)</f>
        <v>57310.201280000001</v>
      </c>
      <c r="E235" s="162">
        <v>54471</v>
      </c>
      <c r="F235" s="170">
        <v>2839.2012800000002</v>
      </c>
      <c r="G235" s="158">
        <v>0</v>
      </c>
      <c r="H235" s="158">
        <v>0</v>
      </c>
      <c r="I235" s="163">
        <v>0</v>
      </c>
      <c r="J235" s="158"/>
      <c r="K235" s="158"/>
      <c r="L235" s="158"/>
      <c r="M235" s="158"/>
      <c r="N235" s="158"/>
      <c r="O235" s="156" t="s">
        <v>282</v>
      </c>
      <c r="P235" s="156" t="s">
        <v>279</v>
      </c>
      <c r="Q235" s="93" t="s">
        <v>287</v>
      </c>
    </row>
    <row r="236" spans="1:18" s="1" customFormat="1" ht="120" customHeight="1" x14ac:dyDescent="0.25">
      <c r="A236" s="165"/>
      <c r="B236" s="191"/>
      <c r="C236" s="143"/>
      <c r="D236" s="162"/>
      <c r="E236" s="162"/>
      <c r="F236" s="170"/>
      <c r="G236" s="158"/>
      <c r="H236" s="158"/>
      <c r="I236" s="163"/>
      <c r="J236" s="158"/>
      <c r="K236" s="158"/>
      <c r="L236" s="158"/>
      <c r="M236" s="158"/>
      <c r="N236" s="158"/>
      <c r="O236" s="156"/>
      <c r="P236" s="156"/>
      <c r="Q236" s="93" t="s">
        <v>438</v>
      </c>
    </row>
    <row r="237" spans="1:18" s="1" customFormat="1" ht="300" customHeight="1" x14ac:dyDescent="0.25">
      <c r="A237" s="164"/>
      <c r="B237" s="159"/>
      <c r="C237" s="156"/>
      <c r="D237" s="162">
        <f>SUM(E237:N237)</f>
        <v>1136251.2711100001</v>
      </c>
      <c r="E237" s="158">
        <v>0</v>
      </c>
      <c r="F237" s="170">
        <v>59799.581109999999</v>
      </c>
      <c r="G237" s="170">
        <v>79546.899999999994</v>
      </c>
      <c r="H237" s="170">
        <v>129635.6</v>
      </c>
      <c r="I237" s="163">
        <v>99526.44</v>
      </c>
      <c r="J237" s="163">
        <v>91582.98</v>
      </c>
      <c r="K237" s="185">
        <v>84159.77</v>
      </c>
      <c r="L237" s="163">
        <v>160000</v>
      </c>
      <c r="M237" s="163">
        <v>206000</v>
      </c>
      <c r="N237" s="163">
        <v>226000</v>
      </c>
      <c r="O237" s="192" t="s">
        <v>458</v>
      </c>
      <c r="P237" s="192" t="s">
        <v>192</v>
      </c>
      <c r="Q237" s="182" t="s">
        <v>519</v>
      </c>
    </row>
    <row r="238" spans="1:18" s="1" customFormat="1" ht="113.25" customHeight="1" x14ac:dyDescent="0.25">
      <c r="A238" s="165"/>
      <c r="B238" s="160"/>
      <c r="C238" s="156"/>
      <c r="D238" s="162"/>
      <c r="E238" s="158"/>
      <c r="F238" s="170"/>
      <c r="G238" s="170"/>
      <c r="H238" s="170"/>
      <c r="I238" s="163"/>
      <c r="J238" s="163"/>
      <c r="K238" s="185"/>
      <c r="L238" s="163"/>
      <c r="M238" s="163"/>
      <c r="N238" s="163"/>
      <c r="O238" s="192"/>
      <c r="P238" s="192"/>
      <c r="Q238" s="182"/>
    </row>
    <row r="239" spans="1:18" s="1" customFormat="1" ht="65.25" customHeight="1" x14ac:dyDescent="0.25">
      <c r="A239" s="164" t="s">
        <v>146</v>
      </c>
      <c r="B239" s="173" t="s">
        <v>248</v>
      </c>
      <c r="C239" s="143" t="s">
        <v>261</v>
      </c>
      <c r="D239" s="162">
        <f>SUM(E239:J239)</f>
        <v>4137</v>
      </c>
      <c r="E239" s="170">
        <v>4137</v>
      </c>
      <c r="F239" s="158">
        <v>0</v>
      </c>
      <c r="G239" s="158">
        <v>0</v>
      </c>
      <c r="H239" s="158">
        <v>0</v>
      </c>
      <c r="I239" s="163">
        <v>0</v>
      </c>
      <c r="J239" s="158"/>
      <c r="K239" s="158"/>
      <c r="L239" s="158"/>
      <c r="M239" s="158"/>
      <c r="N239" s="158"/>
      <c r="O239" s="156" t="s">
        <v>19</v>
      </c>
      <c r="P239" s="156" t="s">
        <v>279</v>
      </c>
      <c r="Q239" s="93" t="s">
        <v>147</v>
      </c>
    </row>
    <row r="240" spans="1:18" s="1" customFormat="1" ht="83.25" customHeight="1" x14ac:dyDescent="0.25">
      <c r="A240" s="166"/>
      <c r="B240" s="173"/>
      <c r="C240" s="143"/>
      <c r="D240" s="162"/>
      <c r="E240" s="170"/>
      <c r="F240" s="158"/>
      <c r="G240" s="158"/>
      <c r="H240" s="158"/>
      <c r="I240" s="163"/>
      <c r="J240" s="158"/>
      <c r="K240" s="158"/>
      <c r="L240" s="158"/>
      <c r="M240" s="158"/>
      <c r="N240" s="158"/>
      <c r="O240" s="156"/>
      <c r="P240" s="156"/>
      <c r="Q240" s="93" t="s">
        <v>148</v>
      </c>
    </row>
    <row r="241" spans="1:17" s="1" customFormat="1" ht="121.5" customHeight="1" x14ac:dyDescent="0.25">
      <c r="A241" s="166"/>
      <c r="B241" s="173"/>
      <c r="C241" s="143"/>
      <c r="D241" s="106">
        <f>SUM(E241:G241)</f>
        <v>3277.5010000000002</v>
      </c>
      <c r="E241" s="108">
        <v>0</v>
      </c>
      <c r="F241" s="110">
        <v>1823.8009999999999</v>
      </c>
      <c r="G241" s="110">
        <v>1453.7</v>
      </c>
      <c r="H241" s="110"/>
      <c r="I241" s="109"/>
      <c r="J241" s="110"/>
      <c r="K241" s="110"/>
      <c r="L241" s="110"/>
      <c r="M241" s="110"/>
      <c r="N241" s="110"/>
      <c r="O241" s="111" t="s">
        <v>284</v>
      </c>
      <c r="P241" s="156" t="s">
        <v>192</v>
      </c>
      <c r="Q241" s="184" t="s">
        <v>404</v>
      </c>
    </row>
    <row r="242" spans="1:17" s="1" customFormat="1" ht="379.5" customHeight="1" x14ac:dyDescent="0.25">
      <c r="A242" s="166"/>
      <c r="B242" s="93" t="s">
        <v>249</v>
      </c>
      <c r="C242" s="143"/>
      <c r="D242" s="106">
        <f>SUM(H242:J242)</f>
        <v>6858.4</v>
      </c>
      <c r="E242" s="107"/>
      <c r="F242" s="106"/>
      <c r="G242" s="106"/>
      <c r="H242" s="106">
        <v>3357.8</v>
      </c>
      <c r="I242" s="114">
        <v>3500.6</v>
      </c>
      <c r="J242" s="114"/>
      <c r="K242" s="114"/>
      <c r="L242" s="114"/>
      <c r="M242" s="114"/>
      <c r="N242" s="114"/>
      <c r="O242" s="113" t="s">
        <v>319</v>
      </c>
      <c r="P242" s="156"/>
      <c r="Q242" s="184"/>
    </row>
    <row r="243" spans="1:17" s="1" customFormat="1" ht="404.25" customHeight="1" x14ac:dyDescent="0.25">
      <c r="A243" s="165"/>
      <c r="B243" s="112" t="s">
        <v>347</v>
      </c>
      <c r="C243" s="119" t="s">
        <v>261</v>
      </c>
      <c r="D243" s="110">
        <f>J243+K243+L243+M243+N243</f>
        <v>3961.65</v>
      </c>
      <c r="E243" s="108"/>
      <c r="F243" s="110"/>
      <c r="G243" s="110"/>
      <c r="H243" s="110"/>
      <c r="I243" s="109"/>
      <c r="J243" s="109">
        <v>3961.65</v>
      </c>
      <c r="K243" s="114"/>
      <c r="L243" s="109"/>
      <c r="M243" s="109"/>
      <c r="N243" s="109"/>
      <c r="O243" s="113" t="s">
        <v>309</v>
      </c>
      <c r="P243" s="113" t="s">
        <v>192</v>
      </c>
      <c r="Q243" s="119" t="s">
        <v>405</v>
      </c>
    </row>
    <row r="244" spans="1:17" s="1" customFormat="1" ht="409.5" customHeight="1" x14ac:dyDescent="0.25">
      <c r="A244" s="115"/>
      <c r="B244" s="93" t="s">
        <v>521</v>
      </c>
      <c r="C244" s="119" t="s">
        <v>261</v>
      </c>
      <c r="D244" s="106">
        <f>K244+L244+M244+N244</f>
        <v>6839.79</v>
      </c>
      <c r="E244" s="107"/>
      <c r="F244" s="106"/>
      <c r="G244" s="106"/>
      <c r="H244" s="106"/>
      <c r="I244" s="114"/>
      <c r="J244" s="114"/>
      <c r="K244" s="114">
        <v>6839.79</v>
      </c>
      <c r="L244" s="114"/>
      <c r="M244" s="114"/>
      <c r="N244" s="114"/>
      <c r="O244" s="113" t="s">
        <v>385</v>
      </c>
      <c r="P244" s="152" t="s">
        <v>192</v>
      </c>
      <c r="Q244" s="233" t="s">
        <v>537</v>
      </c>
    </row>
    <row r="245" spans="1:17" s="1" customFormat="1" ht="409.5" customHeight="1" x14ac:dyDescent="0.25">
      <c r="A245" s="115"/>
      <c r="B245" s="93" t="s">
        <v>520</v>
      </c>
      <c r="C245" s="119" t="s">
        <v>261</v>
      </c>
      <c r="D245" s="106">
        <f>L245+M245+N245</f>
        <v>15860.46</v>
      </c>
      <c r="E245" s="107"/>
      <c r="F245" s="106"/>
      <c r="G245" s="106"/>
      <c r="H245" s="106"/>
      <c r="I245" s="114"/>
      <c r="J245" s="114"/>
      <c r="K245" s="114"/>
      <c r="L245" s="114">
        <v>15428.86</v>
      </c>
      <c r="M245" s="114">
        <v>215.8</v>
      </c>
      <c r="N245" s="114">
        <v>215.8</v>
      </c>
      <c r="O245" s="113" t="s">
        <v>461</v>
      </c>
      <c r="P245" s="154"/>
      <c r="Q245" s="234"/>
    </row>
    <row r="246" spans="1:17" s="1" customFormat="1" ht="130.5" customHeight="1" x14ac:dyDescent="0.25">
      <c r="A246" s="144" t="s">
        <v>149</v>
      </c>
      <c r="B246" s="171" t="s">
        <v>150</v>
      </c>
      <c r="C246" s="143" t="s">
        <v>101</v>
      </c>
      <c r="D246" s="22"/>
      <c r="E246" s="22"/>
      <c r="F246" s="22"/>
      <c r="G246" s="22"/>
      <c r="H246" s="22"/>
      <c r="I246" s="52"/>
      <c r="J246" s="22"/>
      <c r="K246" s="22"/>
      <c r="L246" s="22"/>
      <c r="M246" s="22"/>
      <c r="N246" s="22"/>
      <c r="O246" s="111" t="s">
        <v>19</v>
      </c>
      <c r="P246" s="111" t="s">
        <v>279</v>
      </c>
      <c r="Q246" s="93" t="s">
        <v>151</v>
      </c>
    </row>
    <row r="247" spans="1:17" s="1" customFormat="1" ht="149.25" customHeight="1" x14ac:dyDescent="0.25">
      <c r="A247" s="144"/>
      <c r="B247" s="171"/>
      <c r="C247" s="143"/>
      <c r="D247" s="22"/>
      <c r="E247" s="22"/>
      <c r="F247" s="22"/>
      <c r="G247" s="22"/>
      <c r="H247" s="22"/>
      <c r="I247" s="52"/>
      <c r="J247" s="108"/>
      <c r="K247" s="108"/>
      <c r="L247" s="108"/>
      <c r="M247" s="108"/>
      <c r="N247" s="108"/>
      <c r="O247" s="113" t="s">
        <v>522</v>
      </c>
      <c r="P247" s="113" t="s">
        <v>192</v>
      </c>
      <c r="Q247" s="112" t="s">
        <v>400</v>
      </c>
    </row>
    <row r="248" spans="1:17" s="1" customFormat="1" ht="168.75" customHeight="1" x14ac:dyDescent="0.25">
      <c r="A248" s="144" t="s">
        <v>187</v>
      </c>
      <c r="B248" s="171" t="s">
        <v>188</v>
      </c>
      <c r="C248" s="143" t="s">
        <v>101</v>
      </c>
      <c r="D248" s="158"/>
      <c r="E248" s="158"/>
      <c r="F248" s="158"/>
      <c r="G248" s="158"/>
      <c r="H248" s="158"/>
      <c r="I248" s="163"/>
      <c r="J248" s="158"/>
      <c r="K248" s="158"/>
      <c r="L248" s="158"/>
      <c r="M248" s="158"/>
      <c r="N248" s="158"/>
      <c r="O248" s="192" t="s">
        <v>523</v>
      </c>
      <c r="P248" s="192" t="s">
        <v>192</v>
      </c>
      <c r="Q248" s="211" t="s">
        <v>524</v>
      </c>
    </row>
    <row r="249" spans="1:17" s="1" customFormat="1" ht="35.25" customHeight="1" x14ac:dyDescent="0.25">
      <c r="A249" s="144"/>
      <c r="B249" s="171"/>
      <c r="C249" s="143"/>
      <c r="D249" s="158"/>
      <c r="E249" s="158"/>
      <c r="F249" s="158"/>
      <c r="G249" s="158"/>
      <c r="H249" s="158"/>
      <c r="I249" s="163"/>
      <c r="J249" s="158"/>
      <c r="K249" s="158"/>
      <c r="L249" s="158"/>
      <c r="M249" s="158"/>
      <c r="N249" s="158"/>
      <c r="O249" s="192"/>
      <c r="P249" s="192"/>
      <c r="Q249" s="212"/>
    </row>
    <row r="250" spans="1:17" s="1" customFormat="1" ht="101.25" customHeight="1" x14ac:dyDescent="0.25">
      <c r="A250" s="144" t="s">
        <v>215</v>
      </c>
      <c r="B250" s="171" t="s">
        <v>214</v>
      </c>
      <c r="C250" s="143" t="s">
        <v>209</v>
      </c>
      <c r="D250" s="158"/>
      <c r="E250" s="158"/>
      <c r="F250" s="158"/>
      <c r="G250" s="158"/>
      <c r="H250" s="158"/>
      <c r="I250" s="163"/>
      <c r="J250" s="158"/>
      <c r="K250" s="158"/>
      <c r="L250" s="158"/>
      <c r="M250" s="158"/>
      <c r="N250" s="158"/>
      <c r="O250" s="192" t="s">
        <v>523</v>
      </c>
      <c r="P250" s="192" t="s">
        <v>321</v>
      </c>
      <c r="Q250" s="149" t="s">
        <v>525</v>
      </c>
    </row>
    <row r="251" spans="1:17" s="1" customFormat="1" ht="125.25" customHeight="1" x14ac:dyDescent="0.25">
      <c r="A251" s="144"/>
      <c r="B251" s="171"/>
      <c r="C251" s="143"/>
      <c r="D251" s="158"/>
      <c r="E251" s="158"/>
      <c r="F251" s="158"/>
      <c r="G251" s="158"/>
      <c r="H251" s="158"/>
      <c r="I251" s="163"/>
      <c r="J251" s="158"/>
      <c r="K251" s="158"/>
      <c r="L251" s="158"/>
      <c r="M251" s="158"/>
      <c r="N251" s="158"/>
      <c r="O251" s="192"/>
      <c r="P251" s="192"/>
      <c r="Q251" s="151"/>
    </row>
    <row r="252" spans="1:17" s="1" customFormat="1" ht="76.5" customHeight="1" x14ac:dyDescent="0.25">
      <c r="A252" s="144" t="s">
        <v>218</v>
      </c>
      <c r="B252" s="171" t="s">
        <v>216</v>
      </c>
      <c r="C252" s="143" t="s">
        <v>209</v>
      </c>
      <c r="D252" s="158"/>
      <c r="E252" s="158"/>
      <c r="F252" s="158"/>
      <c r="G252" s="158"/>
      <c r="H252" s="158"/>
      <c r="I252" s="163"/>
      <c r="J252" s="158"/>
      <c r="K252" s="158"/>
      <c r="L252" s="158"/>
      <c r="M252" s="158"/>
      <c r="N252" s="158"/>
      <c r="O252" s="192" t="s">
        <v>463</v>
      </c>
      <c r="P252" s="192" t="s">
        <v>321</v>
      </c>
      <c r="Q252" s="149" t="s">
        <v>526</v>
      </c>
    </row>
    <row r="253" spans="1:17" s="1" customFormat="1" ht="100.5" customHeight="1" x14ac:dyDescent="0.25">
      <c r="A253" s="144"/>
      <c r="B253" s="171"/>
      <c r="C253" s="143"/>
      <c r="D253" s="158"/>
      <c r="E253" s="158"/>
      <c r="F253" s="158"/>
      <c r="G253" s="158"/>
      <c r="H253" s="158"/>
      <c r="I253" s="163"/>
      <c r="J253" s="158"/>
      <c r="K253" s="158"/>
      <c r="L253" s="158"/>
      <c r="M253" s="158"/>
      <c r="N253" s="158"/>
      <c r="O253" s="192"/>
      <c r="P253" s="192"/>
      <c r="Q253" s="151"/>
    </row>
    <row r="254" spans="1:17" s="1" customFormat="1" ht="255.75" customHeight="1" x14ac:dyDescent="0.25">
      <c r="A254" s="115" t="s">
        <v>350</v>
      </c>
      <c r="B254" s="93" t="s">
        <v>351</v>
      </c>
      <c r="C254" s="94" t="s">
        <v>261</v>
      </c>
      <c r="D254" s="107"/>
      <c r="E254" s="107"/>
      <c r="F254" s="107"/>
      <c r="G254" s="107"/>
      <c r="H254" s="107"/>
      <c r="I254" s="114"/>
      <c r="J254" s="107"/>
      <c r="K254" s="107"/>
      <c r="L254" s="107"/>
      <c r="M254" s="107"/>
      <c r="N254" s="107"/>
      <c r="O254" s="113" t="s">
        <v>527</v>
      </c>
      <c r="P254" s="113" t="s">
        <v>192</v>
      </c>
      <c r="Q254" s="119" t="s">
        <v>528</v>
      </c>
    </row>
    <row r="255" spans="1:17" s="1" customFormat="1" ht="25.5" customHeight="1" x14ac:dyDescent="0.25">
      <c r="A255" s="144" t="s">
        <v>432</v>
      </c>
      <c r="B255" s="144"/>
      <c r="C255" s="144"/>
      <c r="D255" s="106">
        <f>SUM(E255:W255)</f>
        <v>1911272.0332200001</v>
      </c>
      <c r="E255" s="106">
        <f>E247+E246+E241+E239+E237+E235+E232+E229+E227+E224</f>
        <v>76946</v>
      </c>
      <c r="F255" s="106">
        <f>F247+F246+F241+F239+F237+F235+F232+F229+F227+F224</f>
        <v>100450.37322000001</v>
      </c>
      <c r="G255" s="106">
        <f>G247+G246+G241+G239+G237+G235+G232+G229+G227+G224</f>
        <v>128098.09999999999</v>
      </c>
      <c r="H255" s="106">
        <f>H247+H246+H241+H239+H237+H235+H232+H229+H227+H224+H242</f>
        <v>181796.7</v>
      </c>
      <c r="I255" s="114">
        <f>I247+I246+I241+I239+I237+I235+I232+I229+I227+I224+I242</f>
        <v>193155.85</v>
      </c>
      <c r="J255" s="109">
        <f>J227+J232+J233+J237+J243+J234</f>
        <v>170586.16999999998</v>
      </c>
      <c r="K255" s="114">
        <f>K227+K232+K237+K244</f>
        <v>140331.57</v>
      </c>
      <c r="L255" s="114">
        <f>L228+L232+L237+L245</f>
        <v>273034</v>
      </c>
      <c r="M255" s="114">
        <f>M228+M232+M237+M245</f>
        <v>323604.93</v>
      </c>
      <c r="N255" s="114">
        <f>N228+N232+N237+N245</f>
        <v>323268.33999999997</v>
      </c>
      <c r="O255" s="112"/>
      <c r="P255" s="113"/>
      <c r="Q255" s="112"/>
    </row>
    <row r="256" spans="1:17" s="1" customFormat="1" ht="18.75" x14ac:dyDescent="0.3">
      <c r="A256" s="118" t="s">
        <v>426</v>
      </c>
      <c r="B256" s="67"/>
      <c r="C256" s="118"/>
      <c r="D256" s="68"/>
      <c r="E256" s="69"/>
      <c r="F256" s="69"/>
      <c r="G256" s="69"/>
      <c r="H256" s="69"/>
      <c r="I256" s="63"/>
      <c r="J256" s="69"/>
      <c r="K256" s="69"/>
      <c r="L256" s="69"/>
      <c r="M256" s="69"/>
      <c r="N256" s="69"/>
      <c r="O256" s="23"/>
      <c r="P256" s="70"/>
      <c r="Q256" s="133" t="s">
        <v>152</v>
      </c>
    </row>
    <row r="257" spans="1:18" s="1" customFormat="1" ht="132" customHeight="1" x14ac:dyDescent="0.25">
      <c r="A257" s="144" t="s">
        <v>153</v>
      </c>
      <c r="B257" s="171" t="s">
        <v>154</v>
      </c>
      <c r="C257" s="143" t="s">
        <v>101</v>
      </c>
      <c r="D257" s="22"/>
      <c r="E257" s="22"/>
      <c r="F257" s="22"/>
      <c r="G257" s="22"/>
      <c r="H257" s="22"/>
      <c r="I257" s="52"/>
      <c r="J257" s="22"/>
      <c r="K257" s="22"/>
      <c r="L257" s="22"/>
      <c r="M257" s="22"/>
      <c r="N257" s="22"/>
      <c r="O257" s="111" t="s">
        <v>19</v>
      </c>
      <c r="P257" s="111" t="s">
        <v>279</v>
      </c>
      <c r="Q257" s="93" t="s">
        <v>411</v>
      </c>
    </row>
    <row r="258" spans="1:18" s="1" customFormat="1" ht="132" customHeight="1" x14ac:dyDescent="0.25">
      <c r="A258" s="144"/>
      <c r="B258" s="171"/>
      <c r="C258" s="143"/>
      <c r="D258" s="22"/>
      <c r="E258" s="22"/>
      <c r="F258" s="22"/>
      <c r="G258" s="22"/>
      <c r="H258" s="22"/>
      <c r="I258" s="52"/>
      <c r="J258" s="22"/>
      <c r="K258" s="22"/>
      <c r="L258" s="22"/>
      <c r="M258" s="22"/>
      <c r="N258" s="22"/>
      <c r="O258" s="113" t="s">
        <v>458</v>
      </c>
      <c r="P258" s="113" t="s">
        <v>192</v>
      </c>
      <c r="Q258" s="112" t="s">
        <v>529</v>
      </c>
    </row>
    <row r="259" spans="1:18" s="1" customFormat="1" ht="154.5" customHeight="1" x14ac:dyDescent="0.25">
      <c r="A259" s="144" t="s">
        <v>155</v>
      </c>
      <c r="B259" s="143" t="s">
        <v>156</v>
      </c>
      <c r="C259" s="93" t="s">
        <v>261</v>
      </c>
      <c r="D259" s="107">
        <f>SUM(E259:J259)</f>
        <v>84.5</v>
      </c>
      <c r="E259" s="108">
        <v>84.5</v>
      </c>
      <c r="F259" s="108">
        <v>0</v>
      </c>
      <c r="G259" s="108">
        <v>0</v>
      </c>
      <c r="H259" s="108">
        <v>0</v>
      </c>
      <c r="I259" s="109">
        <v>0</v>
      </c>
      <c r="J259" s="21"/>
      <c r="K259" s="21"/>
      <c r="L259" s="21"/>
      <c r="M259" s="21"/>
      <c r="N259" s="21"/>
      <c r="O259" s="113" t="s">
        <v>19</v>
      </c>
      <c r="P259" s="113" t="s">
        <v>279</v>
      </c>
      <c r="Q259" s="112" t="s">
        <v>157</v>
      </c>
    </row>
    <row r="260" spans="1:18" s="1" customFormat="1" ht="223.5" customHeight="1" x14ac:dyDescent="0.25">
      <c r="A260" s="144"/>
      <c r="B260" s="143"/>
      <c r="C260" s="93"/>
      <c r="D260" s="107">
        <f>SUM(E260:N260)</f>
        <v>1002.3000000000002</v>
      </c>
      <c r="E260" s="108">
        <v>0</v>
      </c>
      <c r="F260" s="108">
        <v>116</v>
      </c>
      <c r="G260" s="108">
        <v>88.5</v>
      </c>
      <c r="H260" s="108">
        <v>113.6</v>
      </c>
      <c r="I260" s="109">
        <v>119.3</v>
      </c>
      <c r="J260" s="21">
        <v>105.9</v>
      </c>
      <c r="K260" s="55">
        <v>121.3</v>
      </c>
      <c r="L260" s="21">
        <v>115.82</v>
      </c>
      <c r="M260" s="21">
        <v>110.94</v>
      </c>
      <c r="N260" s="21">
        <v>110.94</v>
      </c>
      <c r="O260" s="113" t="s">
        <v>458</v>
      </c>
      <c r="P260" s="113" t="s">
        <v>192</v>
      </c>
      <c r="Q260" s="112" t="s">
        <v>538</v>
      </c>
      <c r="R260" s="75"/>
    </row>
    <row r="261" spans="1:18" s="1" customFormat="1" ht="236.25" customHeight="1" x14ac:dyDescent="0.25">
      <c r="A261" s="131" t="s">
        <v>210</v>
      </c>
      <c r="B261" s="130" t="s">
        <v>217</v>
      </c>
      <c r="C261" s="128" t="s">
        <v>101</v>
      </c>
      <c r="D261" s="124"/>
      <c r="E261" s="124"/>
      <c r="F261" s="124"/>
      <c r="G261" s="124"/>
      <c r="H261" s="124"/>
      <c r="I261" s="125"/>
      <c r="J261" s="124"/>
      <c r="K261" s="124"/>
      <c r="L261" s="124"/>
      <c r="M261" s="124"/>
      <c r="N261" s="124"/>
      <c r="O261" s="122" t="s">
        <v>463</v>
      </c>
      <c r="P261" s="122" t="s">
        <v>192</v>
      </c>
      <c r="Q261" s="142" t="s">
        <v>326</v>
      </c>
    </row>
    <row r="262" spans="1:18" s="1" customFormat="1" ht="30.75" hidden="1" customHeight="1" x14ac:dyDescent="0.25">
      <c r="A262" s="180" t="s">
        <v>211</v>
      </c>
      <c r="B262" s="175" t="s">
        <v>208</v>
      </c>
      <c r="C262" s="161" t="s">
        <v>209</v>
      </c>
      <c r="D262" s="172"/>
      <c r="E262" s="172"/>
      <c r="F262" s="172"/>
      <c r="G262" s="172"/>
      <c r="H262" s="172"/>
      <c r="I262" s="203"/>
      <c r="J262" s="172"/>
      <c r="K262" s="124"/>
      <c r="L262" s="124"/>
      <c r="M262" s="124"/>
      <c r="N262" s="124"/>
      <c r="O262" s="202" t="s">
        <v>463</v>
      </c>
      <c r="P262" s="202" t="s">
        <v>339</v>
      </c>
      <c r="Q262" s="210" t="s">
        <v>327</v>
      </c>
    </row>
    <row r="263" spans="1:18" s="1" customFormat="1" ht="273" customHeight="1" x14ac:dyDescent="0.25">
      <c r="A263" s="180"/>
      <c r="B263" s="175"/>
      <c r="C263" s="161"/>
      <c r="D263" s="172"/>
      <c r="E263" s="172"/>
      <c r="F263" s="172"/>
      <c r="G263" s="172"/>
      <c r="H263" s="172"/>
      <c r="I263" s="203"/>
      <c r="J263" s="172"/>
      <c r="K263" s="124"/>
      <c r="L263" s="124"/>
      <c r="M263" s="124"/>
      <c r="N263" s="124"/>
      <c r="O263" s="202"/>
      <c r="P263" s="202"/>
      <c r="Q263" s="210"/>
      <c r="R263"/>
    </row>
    <row r="264" spans="1:18" s="1" customFormat="1" ht="176.25" customHeight="1" x14ac:dyDescent="0.25">
      <c r="A264" s="180" t="s">
        <v>213</v>
      </c>
      <c r="B264" s="175" t="s">
        <v>212</v>
      </c>
      <c r="C264" s="161" t="s">
        <v>101</v>
      </c>
      <c r="D264" s="172"/>
      <c r="E264" s="172"/>
      <c r="F264" s="172"/>
      <c r="G264" s="172"/>
      <c r="H264" s="172"/>
      <c r="I264" s="203"/>
      <c r="J264" s="172"/>
      <c r="K264" s="172"/>
      <c r="L264" s="172"/>
      <c r="M264" s="172"/>
      <c r="N264" s="172"/>
      <c r="O264" s="202" t="s">
        <v>463</v>
      </c>
      <c r="P264" s="202" t="s">
        <v>369</v>
      </c>
      <c r="Q264" s="210" t="s">
        <v>328</v>
      </c>
    </row>
    <row r="265" spans="1:18" s="1" customFormat="1" ht="102.75" customHeight="1" x14ac:dyDescent="0.25">
      <c r="A265" s="180"/>
      <c r="B265" s="175"/>
      <c r="C265" s="161"/>
      <c r="D265" s="172"/>
      <c r="E265" s="172"/>
      <c r="F265" s="172"/>
      <c r="G265" s="172"/>
      <c r="H265" s="172"/>
      <c r="I265" s="203"/>
      <c r="J265" s="172"/>
      <c r="K265" s="172"/>
      <c r="L265" s="172"/>
      <c r="M265" s="172"/>
      <c r="N265" s="172"/>
      <c r="O265" s="202"/>
      <c r="P265" s="202"/>
      <c r="Q265" s="210"/>
    </row>
    <row r="266" spans="1:18" s="1" customFormat="1" ht="159.75" customHeight="1" x14ac:dyDescent="0.25">
      <c r="A266" s="179" t="s">
        <v>310</v>
      </c>
      <c r="B266" s="176" t="s">
        <v>311</v>
      </c>
      <c r="C266" s="176" t="s">
        <v>101</v>
      </c>
      <c r="D266" s="122"/>
      <c r="E266" s="122"/>
      <c r="F266" s="122"/>
      <c r="G266" s="122"/>
      <c r="H266" s="122"/>
      <c r="I266" s="71"/>
      <c r="J266" s="122"/>
      <c r="K266" s="122"/>
      <c r="L266" s="122"/>
      <c r="M266" s="122"/>
      <c r="N266" s="122"/>
      <c r="O266" s="122" t="s">
        <v>268</v>
      </c>
      <c r="P266" s="122" t="s">
        <v>324</v>
      </c>
      <c r="Q266" s="176" t="s">
        <v>312</v>
      </c>
    </row>
    <row r="267" spans="1:18" s="1" customFormat="1" ht="159.75" customHeight="1" x14ac:dyDescent="0.25">
      <c r="A267" s="179"/>
      <c r="B267" s="176"/>
      <c r="C267" s="176"/>
      <c r="D267" s="122"/>
      <c r="E267" s="122"/>
      <c r="F267" s="122"/>
      <c r="G267" s="122"/>
      <c r="H267" s="122"/>
      <c r="I267" s="71"/>
      <c r="J267" s="122"/>
      <c r="K267" s="122"/>
      <c r="L267" s="122"/>
      <c r="M267" s="122"/>
      <c r="N267" s="122"/>
      <c r="O267" s="122" t="s">
        <v>466</v>
      </c>
      <c r="P267" s="122" t="s">
        <v>370</v>
      </c>
      <c r="Q267" s="176"/>
    </row>
    <row r="268" spans="1:18" s="1" customFormat="1" ht="24" customHeight="1" x14ac:dyDescent="0.25">
      <c r="A268" s="174" t="s">
        <v>433</v>
      </c>
      <c r="B268" s="174"/>
      <c r="C268" s="174"/>
      <c r="D268" s="103">
        <f>SUM(E268:W268)</f>
        <v>1086.8</v>
      </c>
      <c r="E268" s="103">
        <f t="shared" ref="E268:J268" si="13">E260+E259+E258+E257</f>
        <v>84.5</v>
      </c>
      <c r="F268" s="103">
        <f t="shared" si="13"/>
        <v>116</v>
      </c>
      <c r="G268" s="103">
        <f t="shared" si="13"/>
        <v>88.5</v>
      </c>
      <c r="H268" s="103">
        <f t="shared" si="13"/>
        <v>113.6</v>
      </c>
      <c r="I268" s="57">
        <f t="shared" si="13"/>
        <v>119.3</v>
      </c>
      <c r="J268" s="99">
        <f t="shared" si="13"/>
        <v>105.9</v>
      </c>
      <c r="K268" s="99">
        <f>K260</f>
        <v>121.3</v>
      </c>
      <c r="L268" s="99">
        <f>L260</f>
        <v>115.82</v>
      </c>
      <c r="M268" s="99">
        <f>M260</f>
        <v>110.94</v>
      </c>
      <c r="N268" s="99">
        <f>N260</f>
        <v>110.94</v>
      </c>
      <c r="O268" s="72"/>
      <c r="P268" s="72"/>
      <c r="Q268" s="58"/>
    </row>
    <row r="269" spans="1:18" s="1" customFormat="1" ht="18.75" x14ac:dyDescent="0.3">
      <c r="A269" s="196" t="s">
        <v>427</v>
      </c>
      <c r="B269" s="196"/>
      <c r="C269" s="196"/>
      <c r="D269" s="196"/>
      <c r="E269" s="196"/>
      <c r="F269" s="196"/>
      <c r="G269" s="196"/>
      <c r="H269" s="196"/>
      <c r="I269" s="196"/>
      <c r="J269" s="196"/>
      <c r="K269" s="196"/>
      <c r="L269" s="196"/>
      <c r="M269" s="196"/>
      <c r="N269" s="196"/>
      <c r="O269" s="196"/>
      <c r="P269" s="196"/>
      <c r="Q269" s="196"/>
    </row>
    <row r="270" spans="1:18" s="1" customFormat="1" ht="144.75" customHeight="1" x14ac:dyDescent="0.25">
      <c r="A270" s="129" t="s">
        <v>158</v>
      </c>
      <c r="B270" s="119" t="s">
        <v>159</v>
      </c>
      <c r="C270" s="119" t="s">
        <v>261</v>
      </c>
      <c r="D270" s="106">
        <f>SUM(E270:J270)</f>
        <v>18800.367190000001</v>
      </c>
      <c r="E270" s="106">
        <v>12375.2</v>
      </c>
      <c r="F270" s="106">
        <v>6425.1671900000001</v>
      </c>
      <c r="G270" s="107">
        <v>0</v>
      </c>
      <c r="H270" s="107">
        <v>0</v>
      </c>
      <c r="I270" s="114">
        <v>0</v>
      </c>
      <c r="J270" s="55"/>
      <c r="K270" s="55"/>
      <c r="L270" s="55"/>
      <c r="M270" s="55"/>
      <c r="N270" s="55"/>
      <c r="O270" s="113" t="s">
        <v>282</v>
      </c>
      <c r="P270" s="113" t="s">
        <v>166</v>
      </c>
      <c r="Q270" s="119" t="s">
        <v>160</v>
      </c>
    </row>
    <row r="271" spans="1:18" s="1" customFormat="1" ht="72" customHeight="1" x14ac:dyDescent="0.25">
      <c r="A271" s="144" t="s">
        <v>161</v>
      </c>
      <c r="B271" s="143" t="s">
        <v>162</v>
      </c>
      <c r="C271" s="143" t="s">
        <v>101</v>
      </c>
      <c r="D271" s="157"/>
      <c r="E271" s="157"/>
      <c r="F271" s="157"/>
      <c r="G271" s="157"/>
      <c r="H271" s="157"/>
      <c r="I271" s="207"/>
      <c r="J271" s="157"/>
      <c r="K271" s="157"/>
      <c r="L271" s="157"/>
      <c r="M271" s="157"/>
      <c r="N271" s="204"/>
      <c r="O271" s="156" t="s">
        <v>269</v>
      </c>
      <c r="P271" s="156" t="s">
        <v>192</v>
      </c>
      <c r="Q271" s="94" t="s">
        <v>163</v>
      </c>
    </row>
    <row r="272" spans="1:18" s="1" customFormat="1" ht="18.75" customHeight="1" x14ac:dyDescent="0.25">
      <c r="A272" s="144"/>
      <c r="B272" s="143"/>
      <c r="C272" s="143"/>
      <c r="D272" s="157"/>
      <c r="E272" s="157"/>
      <c r="F272" s="157"/>
      <c r="G272" s="157"/>
      <c r="H272" s="157"/>
      <c r="I272" s="207"/>
      <c r="J272" s="157"/>
      <c r="K272" s="157"/>
      <c r="L272" s="157"/>
      <c r="M272" s="157"/>
      <c r="N272" s="205"/>
      <c r="O272" s="156"/>
      <c r="P272" s="156"/>
      <c r="Q272" s="24" t="s">
        <v>281</v>
      </c>
    </row>
    <row r="273" spans="1:17" s="1" customFormat="1" ht="73.5" customHeight="1" x14ac:dyDescent="0.25">
      <c r="A273" s="144"/>
      <c r="B273" s="143"/>
      <c r="C273" s="143"/>
      <c r="D273" s="157"/>
      <c r="E273" s="157"/>
      <c r="F273" s="157"/>
      <c r="G273" s="157"/>
      <c r="H273" s="157"/>
      <c r="I273" s="207"/>
      <c r="J273" s="157"/>
      <c r="K273" s="157"/>
      <c r="L273" s="157"/>
      <c r="M273" s="157"/>
      <c r="N273" s="206"/>
      <c r="O273" s="156"/>
      <c r="P273" s="156"/>
      <c r="Q273" s="24" t="s">
        <v>280</v>
      </c>
    </row>
    <row r="274" spans="1:17" s="1" customFormat="1" ht="106.5" customHeight="1" x14ac:dyDescent="0.25">
      <c r="A274" s="144" t="s">
        <v>164</v>
      </c>
      <c r="B274" s="171" t="s">
        <v>165</v>
      </c>
      <c r="C274" s="143" t="s">
        <v>101</v>
      </c>
      <c r="D274" s="123"/>
      <c r="E274" s="123"/>
      <c r="F274" s="123"/>
      <c r="G274" s="123"/>
      <c r="H274" s="123"/>
      <c r="I274" s="97"/>
      <c r="J274" s="123"/>
      <c r="K274" s="123"/>
      <c r="L274" s="123"/>
      <c r="M274" s="123"/>
      <c r="N274" s="123"/>
      <c r="O274" s="120" t="s">
        <v>19</v>
      </c>
      <c r="P274" s="91" t="s">
        <v>166</v>
      </c>
      <c r="Q274" s="24" t="s">
        <v>167</v>
      </c>
    </row>
    <row r="275" spans="1:17" s="1" customFormat="1" ht="111.75" customHeight="1" x14ac:dyDescent="0.25">
      <c r="A275" s="144"/>
      <c r="B275" s="171"/>
      <c r="C275" s="143"/>
      <c r="D275" s="123"/>
      <c r="E275" s="123"/>
      <c r="F275" s="123"/>
      <c r="G275" s="123"/>
      <c r="H275" s="123"/>
      <c r="I275" s="97"/>
      <c r="J275" s="123"/>
      <c r="K275" s="123"/>
      <c r="L275" s="123"/>
      <c r="M275" s="123"/>
      <c r="N275" s="123"/>
      <c r="O275" s="113" t="s">
        <v>458</v>
      </c>
      <c r="P275" s="113" t="s">
        <v>192</v>
      </c>
      <c r="Q275" s="83" t="s">
        <v>530</v>
      </c>
    </row>
    <row r="276" spans="1:17" s="1" customFormat="1" ht="54" customHeight="1" x14ac:dyDescent="0.25">
      <c r="A276" s="144" t="s">
        <v>168</v>
      </c>
      <c r="B276" s="143" t="s">
        <v>169</v>
      </c>
      <c r="C276" s="143" t="s">
        <v>101</v>
      </c>
      <c r="D276" s="158"/>
      <c r="E276" s="158"/>
      <c r="F276" s="158"/>
      <c r="G276" s="158"/>
      <c r="H276" s="158"/>
      <c r="I276" s="163"/>
      <c r="J276" s="158"/>
      <c r="K276" s="158"/>
      <c r="L276" s="158"/>
      <c r="M276" s="177"/>
      <c r="N276" s="177"/>
      <c r="O276" s="209" t="s">
        <v>19</v>
      </c>
      <c r="P276" s="208" t="s">
        <v>166</v>
      </c>
      <c r="Q276" s="149" t="s">
        <v>170</v>
      </c>
    </row>
    <row r="277" spans="1:17" s="1" customFormat="1" ht="44.25" customHeight="1" x14ac:dyDescent="0.25">
      <c r="A277" s="144"/>
      <c r="B277" s="143"/>
      <c r="C277" s="143"/>
      <c r="D277" s="158"/>
      <c r="E277" s="158"/>
      <c r="F277" s="158"/>
      <c r="G277" s="158"/>
      <c r="H277" s="158"/>
      <c r="I277" s="163"/>
      <c r="J277" s="158"/>
      <c r="K277" s="158"/>
      <c r="L277" s="158"/>
      <c r="M277" s="178"/>
      <c r="N277" s="178"/>
      <c r="O277" s="209"/>
      <c r="P277" s="208"/>
      <c r="Q277" s="151"/>
    </row>
    <row r="278" spans="1:17" s="1" customFormat="1" ht="95.25" customHeight="1" x14ac:dyDescent="0.25">
      <c r="A278" s="144"/>
      <c r="B278" s="143"/>
      <c r="C278" s="143"/>
      <c r="D278" s="108"/>
      <c r="E278" s="108"/>
      <c r="F278" s="108"/>
      <c r="G278" s="108"/>
      <c r="H278" s="108"/>
      <c r="I278" s="109"/>
      <c r="J278" s="108"/>
      <c r="K278" s="108"/>
      <c r="L278" s="108"/>
      <c r="M278" s="108"/>
      <c r="N278" s="108"/>
      <c r="O278" s="2" t="s">
        <v>394</v>
      </c>
      <c r="P278" s="113" t="s">
        <v>192</v>
      </c>
      <c r="Q278" s="119" t="s">
        <v>397</v>
      </c>
    </row>
    <row r="279" spans="1:17" s="1" customFormat="1" ht="105.75" customHeight="1" x14ac:dyDescent="0.25">
      <c r="A279" s="144"/>
      <c r="B279" s="93" t="s">
        <v>395</v>
      </c>
      <c r="C279" s="143"/>
      <c r="D279" s="108"/>
      <c r="E279" s="108"/>
      <c r="F279" s="108"/>
      <c r="G279" s="108"/>
      <c r="H279" s="108"/>
      <c r="I279" s="109"/>
      <c r="J279" s="108"/>
      <c r="K279" s="108"/>
      <c r="L279" s="108"/>
      <c r="M279" s="108"/>
      <c r="N279" s="108"/>
      <c r="O279" s="113" t="s">
        <v>466</v>
      </c>
      <c r="P279" s="113" t="s">
        <v>192</v>
      </c>
      <c r="Q279" s="119" t="s">
        <v>531</v>
      </c>
    </row>
    <row r="280" spans="1:17" s="1" customFormat="1" ht="215.25" customHeight="1" x14ac:dyDescent="0.25">
      <c r="A280" s="144" t="s">
        <v>171</v>
      </c>
      <c r="B280" s="143" t="s">
        <v>172</v>
      </c>
      <c r="C280" s="156" t="s">
        <v>101</v>
      </c>
      <c r="D280" s="123"/>
      <c r="E280" s="123"/>
      <c r="F280" s="123"/>
      <c r="G280" s="123"/>
      <c r="H280" s="123"/>
      <c r="I280" s="97"/>
      <c r="J280" s="123"/>
      <c r="K280" s="123"/>
      <c r="L280" s="123"/>
      <c r="M280" s="123"/>
      <c r="N280" s="123"/>
      <c r="O280" s="120" t="s">
        <v>19</v>
      </c>
      <c r="P280" s="111" t="s">
        <v>166</v>
      </c>
      <c r="Q280" s="94" t="s">
        <v>338</v>
      </c>
    </row>
    <row r="281" spans="1:17" s="1" customFormat="1" ht="283.5" customHeight="1" x14ac:dyDescent="0.25">
      <c r="A281" s="144"/>
      <c r="B281" s="143"/>
      <c r="C281" s="156"/>
      <c r="D281" s="157"/>
      <c r="E281" s="157"/>
      <c r="F281" s="157"/>
      <c r="G281" s="157"/>
      <c r="H281" s="157"/>
      <c r="I281" s="207"/>
      <c r="J281" s="157"/>
      <c r="K281" s="123"/>
      <c r="L281" s="123"/>
      <c r="M281" s="123"/>
      <c r="N281" s="123"/>
      <c r="O281" s="192" t="s">
        <v>317</v>
      </c>
      <c r="P281" s="192" t="s">
        <v>192</v>
      </c>
      <c r="Q281" s="182" t="s">
        <v>406</v>
      </c>
    </row>
    <row r="282" spans="1:17" s="1" customFormat="1" ht="8.25" hidden="1" customHeight="1" x14ac:dyDescent="0.25">
      <c r="A282" s="144"/>
      <c r="B282" s="143"/>
      <c r="C282" s="156"/>
      <c r="D282" s="157"/>
      <c r="E282" s="157"/>
      <c r="F282" s="157"/>
      <c r="G282" s="157"/>
      <c r="H282" s="157"/>
      <c r="I282" s="207"/>
      <c r="J282" s="157"/>
      <c r="K282" s="123"/>
      <c r="L282" s="123"/>
      <c r="M282" s="123"/>
      <c r="N282" s="123"/>
      <c r="O282" s="192"/>
      <c r="P282" s="192"/>
      <c r="Q282" s="182"/>
    </row>
    <row r="283" spans="1:17" s="1" customFormat="1" ht="267.75" customHeight="1" x14ac:dyDescent="0.25">
      <c r="A283" s="144"/>
      <c r="B283" s="143"/>
      <c r="C283" s="156"/>
      <c r="D283" s="123"/>
      <c r="E283" s="123"/>
      <c r="F283" s="123"/>
      <c r="G283" s="123"/>
      <c r="H283" s="123"/>
      <c r="I283" s="97"/>
      <c r="J283" s="123"/>
      <c r="K283" s="123"/>
      <c r="L283" s="123"/>
      <c r="M283" s="123"/>
      <c r="N283" s="123"/>
      <c r="O283" s="113" t="s">
        <v>466</v>
      </c>
      <c r="P283" s="192"/>
      <c r="Q283" s="112" t="s">
        <v>532</v>
      </c>
    </row>
    <row r="284" spans="1:17" s="1" customFormat="1" ht="234" customHeight="1" x14ac:dyDescent="0.25">
      <c r="A284" s="144" t="s">
        <v>173</v>
      </c>
      <c r="B284" s="143" t="s">
        <v>174</v>
      </c>
      <c r="C284" s="143" t="s">
        <v>101</v>
      </c>
      <c r="D284" s="123"/>
      <c r="E284" s="123"/>
      <c r="F284" s="123"/>
      <c r="G284" s="123"/>
      <c r="H284" s="123"/>
      <c r="I284" s="97"/>
      <c r="J284" s="123"/>
      <c r="K284" s="123"/>
      <c r="L284" s="123"/>
      <c r="M284" s="123"/>
      <c r="N284" s="123"/>
      <c r="O284" s="2" t="s">
        <v>19</v>
      </c>
      <c r="P284" s="113" t="s">
        <v>166</v>
      </c>
      <c r="Q284" s="112" t="s">
        <v>175</v>
      </c>
    </row>
    <row r="285" spans="1:17" s="1" customFormat="1" ht="168.75" x14ac:dyDescent="0.25">
      <c r="A285" s="144"/>
      <c r="B285" s="143"/>
      <c r="C285" s="143"/>
      <c r="D285" s="123"/>
      <c r="E285" s="123"/>
      <c r="F285" s="123"/>
      <c r="G285" s="123"/>
      <c r="H285" s="123"/>
      <c r="I285" s="97"/>
      <c r="J285" s="123"/>
      <c r="K285" s="123"/>
      <c r="L285" s="123"/>
      <c r="M285" s="123"/>
      <c r="N285" s="123"/>
      <c r="O285" s="113" t="s">
        <v>458</v>
      </c>
      <c r="P285" s="113" t="s">
        <v>192</v>
      </c>
      <c r="Q285" s="112" t="s">
        <v>533</v>
      </c>
    </row>
    <row r="286" spans="1:17" s="1" customFormat="1" ht="126" customHeight="1" x14ac:dyDescent="0.25">
      <c r="A286" s="144" t="s">
        <v>176</v>
      </c>
      <c r="B286" s="171" t="s">
        <v>177</v>
      </c>
      <c r="C286" s="143" t="s">
        <v>101</v>
      </c>
      <c r="D286" s="73"/>
      <c r="E286" s="73"/>
      <c r="F286" s="73"/>
      <c r="G286" s="73"/>
      <c r="H286" s="73"/>
      <c r="I286" s="74"/>
      <c r="J286" s="73"/>
      <c r="K286" s="73"/>
      <c r="L286" s="73"/>
      <c r="M286" s="73"/>
      <c r="N286" s="73"/>
      <c r="O286" s="120" t="s">
        <v>19</v>
      </c>
      <c r="P286" s="111" t="s">
        <v>166</v>
      </c>
      <c r="Q286" s="93" t="s">
        <v>439</v>
      </c>
    </row>
    <row r="287" spans="1:17" s="1" customFormat="1" ht="157.5" customHeight="1" x14ac:dyDescent="0.25">
      <c r="A287" s="144"/>
      <c r="B287" s="171"/>
      <c r="C287" s="143"/>
      <c r="D287" s="73"/>
      <c r="E287" s="73"/>
      <c r="F287" s="73"/>
      <c r="G287" s="73"/>
      <c r="H287" s="73"/>
      <c r="I287" s="74"/>
      <c r="J287" s="73"/>
      <c r="K287" s="73"/>
      <c r="L287" s="73"/>
      <c r="M287" s="73"/>
      <c r="N287" s="73"/>
      <c r="O287" s="111" t="s">
        <v>458</v>
      </c>
      <c r="P287" s="111" t="s">
        <v>192</v>
      </c>
      <c r="Q287" s="112" t="s">
        <v>491</v>
      </c>
    </row>
    <row r="288" spans="1:17" s="1" customFormat="1" ht="20.25" customHeight="1" x14ac:dyDescent="0.25">
      <c r="A288" s="144" t="s">
        <v>434</v>
      </c>
      <c r="B288" s="144"/>
      <c r="C288" s="144"/>
      <c r="D288" s="57">
        <f>SUM(E288:J288)</f>
        <v>18800.367190000001</v>
      </c>
      <c r="E288" s="28">
        <f t="shared" ref="E288:J288" si="14">E287+E286+E285+E284+E281+E280+E279+E276+E275+E274+E271+E270</f>
        <v>12375.2</v>
      </c>
      <c r="F288" s="28">
        <f t="shared" si="14"/>
        <v>6425.1671900000001</v>
      </c>
      <c r="G288" s="29">
        <f t="shared" si="14"/>
        <v>0</v>
      </c>
      <c r="H288" s="29">
        <f t="shared" si="14"/>
        <v>0</v>
      </c>
      <c r="I288" s="28">
        <f t="shared" si="14"/>
        <v>0</v>
      </c>
      <c r="J288" s="29">
        <f t="shared" si="14"/>
        <v>0</v>
      </c>
      <c r="K288" s="99">
        <v>0</v>
      </c>
      <c r="L288" s="99">
        <v>0</v>
      </c>
      <c r="M288" s="29">
        <v>0</v>
      </c>
      <c r="N288" s="29">
        <v>0</v>
      </c>
      <c r="O288" s="82"/>
      <c r="P288" s="91"/>
      <c r="Q288" s="91"/>
    </row>
    <row r="289" spans="1:18" s="1" customFormat="1" ht="20.25" customHeight="1" x14ac:dyDescent="0.25">
      <c r="A289" s="227" t="s">
        <v>428</v>
      </c>
      <c r="B289" s="145"/>
      <c r="C289" s="145"/>
      <c r="D289" s="145"/>
      <c r="E289" s="145"/>
      <c r="F289" s="145"/>
      <c r="G289" s="145"/>
      <c r="H289" s="145"/>
      <c r="I289" s="145"/>
      <c r="J289" s="145"/>
      <c r="K289" s="145"/>
      <c r="L289" s="145"/>
      <c r="M289" s="145"/>
      <c r="N289" s="145"/>
      <c r="O289" s="145"/>
      <c r="P289" s="145"/>
      <c r="Q289" s="145"/>
    </row>
    <row r="290" spans="1:18" s="1" customFormat="1" ht="39.75" customHeight="1" x14ac:dyDescent="0.25">
      <c r="A290" s="144" t="s">
        <v>371</v>
      </c>
      <c r="B290" s="145" t="s">
        <v>354</v>
      </c>
      <c r="C290" s="84" t="s">
        <v>70</v>
      </c>
      <c r="D290" s="114">
        <f t="shared" ref="D290:D305" si="15">J290</f>
        <v>2085.8000000000002</v>
      </c>
      <c r="E290" s="28"/>
      <c r="F290" s="28"/>
      <c r="G290" s="29"/>
      <c r="H290" s="29"/>
      <c r="I290" s="28"/>
      <c r="J290" s="21">
        <f>J291+J292+J293</f>
        <v>2085.8000000000002</v>
      </c>
      <c r="K290" s="29"/>
      <c r="L290" s="29"/>
      <c r="M290" s="29"/>
      <c r="N290" s="29"/>
      <c r="O290" s="158" t="s">
        <v>309</v>
      </c>
      <c r="P290" s="156" t="s">
        <v>255</v>
      </c>
      <c r="Q290" s="143" t="s">
        <v>354</v>
      </c>
    </row>
    <row r="291" spans="1:18" s="1" customFormat="1" ht="66" customHeight="1" x14ac:dyDescent="0.25">
      <c r="A291" s="144"/>
      <c r="B291" s="145"/>
      <c r="C291" s="84" t="s">
        <v>261</v>
      </c>
      <c r="D291" s="114">
        <f t="shared" si="15"/>
        <v>792.6</v>
      </c>
      <c r="E291" s="28"/>
      <c r="F291" s="28"/>
      <c r="G291" s="29"/>
      <c r="H291" s="29"/>
      <c r="I291" s="28"/>
      <c r="J291" s="21">
        <v>792.6</v>
      </c>
      <c r="K291" s="29"/>
      <c r="L291" s="29"/>
      <c r="M291" s="29"/>
      <c r="N291" s="29"/>
      <c r="O291" s="158"/>
      <c r="P291" s="156"/>
      <c r="Q291" s="143"/>
    </row>
    <row r="292" spans="1:18" s="1" customFormat="1" ht="70.5" customHeight="1" x14ac:dyDescent="0.25">
      <c r="A292" s="144"/>
      <c r="B292" s="145"/>
      <c r="C292" s="84" t="s">
        <v>341</v>
      </c>
      <c r="D292" s="114">
        <f t="shared" si="15"/>
        <v>41.7</v>
      </c>
      <c r="E292" s="28"/>
      <c r="F292" s="28"/>
      <c r="G292" s="29"/>
      <c r="H292" s="29"/>
      <c r="I292" s="28"/>
      <c r="J292" s="21">
        <v>41.7</v>
      </c>
      <c r="K292" s="29"/>
      <c r="L292" s="29"/>
      <c r="M292" s="29"/>
      <c r="N292" s="29"/>
      <c r="O292" s="158"/>
      <c r="P292" s="156"/>
      <c r="Q292" s="143"/>
      <c r="R292" s="85"/>
    </row>
    <row r="293" spans="1:18" s="1" customFormat="1" ht="40.5" customHeight="1" x14ac:dyDescent="0.25">
      <c r="A293" s="144"/>
      <c r="B293" s="145"/>
      <c r="C293" s="84" t="s">
        <v>18</v>
      </c>
      <c r="D293" s="114">
        <f t="shared" si="15"/>
        <v>1251.5</v>
      </c>
      <c r="E293" s="28"/>
      <c r="F293" s="28"/>
      <c r="G293" s="29"/>
      <c r="H293" s="29"/>
      <c r="I293" s="28"/>
      <c r="J293" s="21">
        <v>1251.5</v>
      </c>
      <c r="K293" s="29"/>
      <c r="L293" s="29"/>
      <c r="M293" s="29"/>
      <c r="N293" s="29"/>
      <c r="O293" s="158"/>
      <c r="P293" s="156"/>
      <c r="Q293" s="143"/>
    </row>
    <row r="294" spans="1:18" s="1" customFormat="1" ht="45.75" customHeight="1" x14ac:dyDescent="0.25">
      <c r="A294" s="144" t="s">
        <v>372</v>
      </c>
      <c r="B294" s="145" t="s">
        <v>441</v>
      </c>
      <c r="C294" s="84" t="s">
        <v>70</v>
      </c>
      <c r="D294" s="114">
        <f t="shared" si="15"/>
        <v>2552.1999999999998</v>
      </c>
      <c r="E294" s="28"/>
      <c r="F294" s="28"/>
      <c r="G294" s="29"/>
      <c r="H294" s="29"/>
      <c r="I294" s="28"/>
      <c r="J294" s="21">
        <f>J295+J296+J297</f>
        <v>2552.1999999999998</v>
      </c>
      <c r="K294" s="29"/>
      <c r="L294" s="29"/>
      <c r="M294" s="29"/>
      <c r="N294" s="29"/>
      <c r="O294" s="158" t="s">
        <v>309</v>
      </c>
      <c r="P294" s="156" t="s">
        <v>255</v>
      </c>
      <c r="Q294" s="143" t="s">
        <v>373</v>
      </c>
    </row>
    <row r="295" spans="1:18" s="1" customFormat="1" ht="66" customHeight="1" x14ac:dyDescent="0.25">
      <c r="A295" s="144"/>
      <c r="B295" s="145"/>
      <c r="C295" s="84" t="s">
        <v>261</v>
      </c>
      <c r="D295" s="114">
        <f t="shared" si="15"/>
        <v>969.9</v>
      </c>
      <c r="E295" s="28"/>
      <c r="F295" s="28"/>
      <c r="G295" s="29"/>
      <c r="H295" s="29"/>
      <c r="I295" s="28"/>
      <c r="J295" s="21">
        <v>969.9</v>
      </c>
      <c r="K295" s="29"/>
      <c r="L295" s="29"/>
      <c r="M295" s="29"/>
      <c r="N295" s="29"/>
      <c r="O295" s="158"/>
      <c r="P295" s="156"/>
      <c r="Q295" s="143"/>
    </row>
    <row r="296" spans="1:18" s="1" customFormat="1" ht="64.5" customHeight="1" x14ac:dyDescent="0.25">
      <c r="A296" s="144"/>
      <c r="B296" s="145"/>
      <c r="C296" s="84" t="s">
        <v>341</v>
      </c>
      <c r="D296" s="114">
        <f t="shared" si="15"/>
        <v>51</v>
      </c>
      <c r="E296" s="28"/>
      <c r="F296" s="28"/>
      <c r="G296" s="29"/>
      <c r="H296" s="29"/>
      <c r="I296" s="28"/>
      <c r="J296" s="21">
        <v>51</v>
      </c>
      <c r="K296" s="29"/>
      <c r="L296" s="29"/>
      <c r="M296" s="29"/>
      <c r="N296" s="29"/>
      <c r="O296" s="158"/>
      <c r="P296" s="156"/>
      <c r="Q296" s="143"/>
    </row>
    <row r="297" spans="1:18" s="1" customFormat="1" ht="44.25" customHeight="1" x14ac:dyDescent="0.25">
      <c r="A297" s="144"/>
      <c r="B297" s="145"/>
      <c r="C297" s="84" t="s">
        <v>18</v>
      </c>
      <c r="D297" s="114">
        <f t="shared" si="15"/>
        <v>1531.3</v>
      </c>
      <c r="E297" s="28"/>
      <c r="F297" s="28"/>
      <c r="G297" s="29"/>
      <c r="H297" s="29"/>
      <c r="I297" s="28"/>
      <c r="J297" s="21">
        <v>1531.3</v>
      </c>
      <c r="K297" s="29"/>
      <c r="L297" s="29"/>
      <c r="M297" s="29"/>
      <c r="N297" s="29"/>
      <c r="O297" s="158"/>
      <c r="P297" s="156"/>
      <c r="Q297" s="143"/>
    </row>
    <row r="298" spans="1:18" s="1" customFormat="1" ht="36.75" customHeight="1" x14ac:dyDescent="0.25">
      <c r="A298" s="144" t="s">
        <v>374</v>
      </c>
      <c r="B298" s="145" t="s">
        <v>375</v>
      </c>
      <c r="C298" s="84" t="s">
        <v>70</v>
      </c>
      <c r="D298" s="114">
        <f t="shared" si="15"/>
        <v>3899.3</v>
      </c>
      <c r="E298" s="28"/>
      <c r="F298" s="28"/>
      <c r="G298" s="29"/>
      <c r="H298" s="29"/>
      <c r="I298" s="28"/>
      <c r="J298" s="21">
        <f>J299+J300+J301</f>
        <v>3899.3</v>
      </c>
      <c r="K298" s="29"/>
      <c r="L298" s="29"/>
      <c r="M298" s="29"/>
      <c r="N298" s="29"/>
      <c r="O298" s="158" t="s">
        <v>309</v>
      </c>
      <c r="P298" s="156" t="s">
        <v>255</v>
      </c>
      <c r="Q298" s="143" t="s">
        <v>335</v>
      </c>
    </row>
    <row r="299" spans="1:18" s="1" customFormat="1" ht="60" customHeight="1" x14ac:dyDescent="0.25">
      <c r="A299" s="144"/>
      <c r="B299" s="145"/>
      <c r="C299" s="84" t="s">
        <v>261</v>
      </c>
      <c r="D299" s="114">
        <f t="shared" si="15"/>
        <v>1481.8</v>
      </c>
      <c r="E299" s="28"/>
      <c r="F299" s="28"/>
      <c r="G299" s="29"/>
      <c r="H299" s="29"/>
      <c r="I299" s="28"/>
      <c r="J299" s="21">
        <v>1481.8</v>
      </c>
      <c r="K299" s="29"/>
      <c r="L299" s="29"/>
      <c r="M299" s="29"/>
      <c r="N299" s="29"/>
      <c r="O299" s="158"/>
      <c r="P299" s="156"/>
      <c r="Q299" s="143"/>
    </row>
    <row r="300" spans="1:18" s="1" customFormat="1" ht="63.75" customHeight="1" x14ac:dyDescent="0.25">
      <c r="A300" s="144"/>
      <c r="B300" s="145"/>
      <c r="C300" s="84" t="s">
        <v>341</v>
      </c>
      <c r="D300" s="114">
        <f t="shared" si="15"/>
        <v>77.900000000000006</v>
      </c>
      <c r="E300" s="28"/>
      <c r="F300" s="28"/>
      <c r="G300" s="29"/>
      <c r="H300" s="29"/>
      <c r="I300" s="28"/>
      <c r="J300" s="21">
        <v>77.900000000000006</v>
      </c>
      <c r="K300" s="29"/>
      <c r="L300" s="29"/>
      <c r="M300" s="29"/>
      <c r="N300" s="29"/>
      <c r="O300" s="158"/>
      <c r="P300" s="156"/>
      <c r="Q300" s="143"/>
    </row>
    <row r="301" spans="1:18" s="1" customFormat="1" ht="60" customHeight="1" x14ac:dyDescent="0.25">
      <c r="A301" s="144"/>
      <c r="B301" s="145"/>
      <c r="C301" s="84" t="s">
        <v>18</v>
      </c>
      <c r="D301" s="114">
        <f t="shared" si="15"/>
        <v>2339.6</v>
      </c>
      <c r="E301" s="28"/>
      <c r="F301" s="28"/>
      <c r="G301" s="29"/>
      <c r="H301" s="29"/>
      <c r="I301" s="28"/>
      <c r="J301" s="21">
        <v>2339.6</v>
      </c>
      <c r="K301" s="29"/>
      <c r="L301" s="29"/>
      <c r="M301" s="29"/>
      <c r="N301" s="29"/>
      <c r="O301" s="158"/>
      <c r="P301" s="156"/>
      <c r="Q301" s="143"/>
    </row>
    <row r="302" spans="1:18" s="1" customFormat="1" ht="39" customHeight="1" x14ac:dyDescent="0.25">
      <c r="A302" s="144" t="s">
        <v>376</v>
      </c>
      <c r="B302" s="145" t="s">
        <v>336</v>
      </c>
      <c r="C302" s="84" t="s">
        <v>70</v>
      </c>
      <c r="D302" s="109">
        <f t="shared" si="15"/>
        <v>2683</v>
      </c>
      <c r="E302" s="28"/>
      <c r="F302" s="28"/>
      <c r="G302" s="29"/>
      <c r="H302" s="29"/>
      <c r="I302" s="28"/>
      <c r="J302" s="21">
        <f>J303+J304+J305</f>
        <v>2683</v>
      </c>
      <c r="K302" s="29"/>
      <c r="L302" s="29"/>
      <c r="M302" s="29"/>
      <c r="N302" s="29"/>
      <c r="O302" s="158" t="s">
        <v>309</v>
      </c>
      <c r="P302" s="156" t="s">
        <v>377</v>
      </c>
      <c r="Q302" s="143" t="s">
        <v>336</v>
      </c>
    </row>
    <row r="303" spans="1:18" s="1" customFormat="1" ht="66" customHeight="1" x14ac:dyDescent="0.25">
      <c r="A303" s="144"/>
      <c r="B303" s="145"/>
      <c r="C303" s="84" t="s">
        <v>261</v>
      </c>
      <c r="D303" s="109">
        <f t="shared" si="15"/>
        <v>1019.54</v>
      </c>
      <c r="E303" s="28"/>
      <c r="F303" s="28"/>
      <c r="G303" s="29"/>
      <c r="H303" s="29"/>
      <c r="I303" s="28"/>
      <c r="J303" s="21">
        <v>1019.54</v>
      </c>
      <c r="K303" s="29"/>
      <c r="L303" s="29"/>
      <c r="M303" s="29"/>
      <c r="N303" s="29"/>
      <c r="O303" s="158"/>
      <c r="P303" s="156"/>
      <c r="Q303" s="143"/>
    </row>
    <row r="304" spans="1:18" s="1" customFormat="1" ht="51.75" customHeight="1" x14ac:dyDescent="0.25">
      <c r="A304" s="144"/>
      <c r="B304" s="145"/>
      <c r="C304" s="84" t="s">
        <v>341</v>
      </c>
      <c r="D304" s="109">
        <f t="shared" si="15"/>
        <v>53.66</v>
      </c>
      <c r="E304" s="28"/>
      <c r="F304" s="28"/>
      <c r="G304" s="29"/>
      <c r="H304" s="29"/>
      <c r="I304" s="28"/>
      <c r="J304" s="21">
        <v>53.66</v>
      </c>
      <c r="K304" s="29"/>
      <c r="L304" s="29"/>
      <c r="M304" s="29"/>
      <c r="N304" s="29"/>
      <c r="O304" s="158"/>
      <c r="P304" s="156"/>
      <c r="Q304" s="143"/>
      <c r="R304" s="85"/>
    </row>
    <row r="305" spans="1:18" s="1" customFormat="1" ht="40.5" customHeight="1" x14ac:dyDescent="0.25">
      <c r="A305" s="144"/>
      <c r="B305" s="145"/>
      <c r="C305" s="84" t="s">
        <v>18</v>
      </c>
      <c r="D305" s="109">
        <f t="shared" si="15"/>
        <v>1609.8</v>
      </c>
      <c r="E305" s="28"/>
      <c r="F305" s="28"/>
      <c r="G305" s="29"/>
      <c r="H305" s="29"/>
      <c r="I305" s="28"/>
      <c r="J305" s="21">
        <v>1609.8</v>
      </c>
      <c r="K305" s="29"/>
      <c r="L305" s="29"/>
      <c r="M305" s="29"/>
      <c r="N305" s="29"/>
      <c r="O305" s="158"/>
      <c r="P305" s="156"/>
      <c r="Q305" s="143"/>
    </row>
    <row r="306" spans="1:18" s="1" customFormat="1" ht="40.5" customHeight="1" x14ac:dyDescent="0.25">
      <c r="A306" s="144" t="s">
        <v>378</v>
      </c>
      <c r="B306" s="145" t="s">
        <v>379</v>
      </c>
      <c r="C306" s="84" t="s">
        <v>70</v>
      </c>
      <c r="D306" s="109">
        <f t="shared" ref="D306:D313" si="16">J306</f>
        <v>3040.23</v>
      </c>
      <c r="E306" s="28"/>
      <c r="F306" s="28"/>
      <c r="G306" s="29"/>
      <c r="H306" s="29"/>
      <c r="I306" s="28"/>
      <c r="J306" s="21">
        <f>J307+J308+J309</f>
        <v>3040.23</v>
      </c>
      <c r="K306" s="29"/>
      <c r="L306" s="29"/>
      <c r="M306" s="29"/>
      <c r="N306" s="29"/>
      <c r="O306" s="158" t="s">
        <v>309</v>
      </c>
      <c r="P306" s="156" t="s">
        <v>377</v>
      </c>
      <c r="Q306" s="143" t="s">
        <v>379</v>
      </c>
    </row>
    <row r="307" spans="1:18" s="1" customFormat="1" ht="69.75" customHeight="1" x14ac:dyDescent="0.25">
      <c r="A307" s="144"/>
      <c r="B307" s="145"/>
      <c r="C307" s="84" t="s">
        <v>261</v>
      </c>
      <c r="D307" s="109">
        <f t="shared" si="16"/>
        <v>1155.29</v>
      </c>
      <c r="E307" s="28"/>
      <c r="F307" s="28"/>
      <c r="G307" s="29"/>
      <c r="H307" s="29"/>
      <c r="I307" s="28"/>
      <c r="J307" s="21">
        <v>1155.29</v>
      </c>
      <c r="K307" s="29"/>
      <c r="L307" s="29"/>
      <c r="M307" s="29"/>
      <c r="N307" s="29"/>
      <c r="O307" s="158"/>
      <c r="P307" s="156"/>
      <c r="Q307" s="143"/>
    </row>
    <row r="308" spans="1:18" s="1" customFormat="1" ht="81" customHeight="1" x14ac:dyDescent="0.25">
      <c r="A308" s="144"/>
      <c r="B308" s="145"/>
      <c r="C308" s="84" t="s">
        <v>341</v>
      </c>
      <c r="D308" s="109">
        <f t="shared" si="16"/>
        <v>60.8</v>
      </c>
      <c r="E308" s="28"/>
      <c r="F308" s="28"/>
      <c r="G308" s="29"/>
      <c r="H308" s="29"/>
      <c r="I308" s="28"/>
      <c r="J308" s="21">
        <v>60.8</v>
      </c>
      <c r="K308" s="29"/>
      <c r="L308" s="29"/>
      <c r="M308" s="29"/>
      <c r="N308" s="29"/>
      <c r="O308" s="158"/>
      <c r="P308" s="156"/>
      <c r="Q308" s="143"/>
    </row>
    <row r="309" spans="1:18" s="1" customFormat="1" ht="40.5" customHeight="1" x14ac:dyDescent="0.25">
      <c r="A309" s="144"/>
      <c r="B309" s="145"/>
      <c r="C309" s="84" t="s">
        <v>18</v>
      </c>
      <c r="D309" s="109">
        <f t="shared" si="16"/>
        <v>1824.14</v>
      </c>
      <c r="E309" s="28"/>
      <c r="F309" s="28"/>
      <c r="G309" s="29"/>
      <c r="H309" s="29"/>
      <c r="I309" s="28"/>
      <c r="J309" s="21">
        <v>1824.14</v>
      </c>
      <c r="K309" s="29"/>
      <c r="L309" s="29"/>
      <c r="M309" s="29"/>
      <c r="N309" s="29"/>
      <c r="O309" s="158"/>
      <c r="P309" s="156"/>
      <c r="Q309" s="143"/>
    </row>
    <row r="310" spans="1:18" s="1" customFormat="1" ht="40.5" customHeight="1" x14ac:dyDescent="0.25">
      <c r="A310" s="144" t="s">
        <v>380</v>
      </c>
      <c r="B310" s="145" t="s">
        <v>381</v>
      </c>
      <c r="C310" s="84" t="s">
        <v>70</v>
      </c>
      <c r="D310" s="109">
        <f t="shared" si="16"/>
        <v>3362.77</v>
      </c>
      <c r="E310" s="28"/>
      <c r="F310" s="28"/>
      <c r="G310" s="29"/>
      <c r="H310" s="29"/>
      <c r="I310" s="28"/>
      <c r="J310" s="21">
        <f>J311+J312+J313</f>
        <v>3362.77</v>
      </c>
      <c r="K310" s="29"/>
      <c r="L310" s="29"/>
      <c r="M310" s="29"/>
      <c r="N310" s="29"/>
      <c r="O310" s="158" t="s">
        <v>309</v>
      </c>
      <c r="P310" s="156" t="s">
        <v>204</v>
      </c>
      <c r="Q310" s="143" t="s">
        <v>381</v>
      </c>
    </row>
    <row r="311" spans="1:18" s="1" customFormat="1" ht="60.75" customHeight="1" x14ac:dyDescent="0.25">
      <c r="A311" s="144"/>
      <c r="B311" s="145"/>
      <c r="C311" s="84" t="s">
        <v>261</v>
      </c>
      <c r="D311" s="109">
        <f t="shared" si="16"/>
        <v>1317.63</v>
      </c>
      <c r="E311" s="28"/>
      <c r="F311" s="28"/>
      <c r="G311" s="29"/>
      <c r="H311" s="29"/>
      <c r="I311" s="28"/>
      <c r="J311" s="21">
        <v>1317.63</v>
      </c>
      <c r="K311" s="29"/>
      <c r="L311" s="29"/>
      <c r="M311" s="29"/>
      <c r="N311" s="29"/>
      <c r="O311" s="158"/>
      <c r="P311" s="156"/>
      <c r="Q311" s="143"/>
    </row>
    <row r="312" spans="1:18" s="1" customFormat="1" ht="59.25" customHeight="1" x14ac:dyDescent="0.25">
      <c r="A312" s="144"/>
      <c r="B312" s="145"/>
      <c r="C312" s="84" t="s">
        <v>341</v>
      </c>
      <c r="D312" s="109">
        <f t="shared" si="16"/>
        <v>69.34</v>
      </c>
      <c r="E312" s="28"/>
      <c r="F312" s="28"/>
      <c r="G312" s="29"/>
      <c r="H312" s="29"/>
      <c r="I312" s="28"/>
      <c r="J312" s="21">
        <v>69.34</v>
      </c>
      <c r="K312" s="29"/>
      <c r="L312" s="29"/>
      <c r="M312" s="29"/>
      <c r="N312" s="29"/>
      <c r="O312" s="158"/>
      <c r="P312" s="156"/>
      <c r="Q312" s="143"/>
    </row>
    <row r="313" spans="1:18" s="1" customFormat="1" ht="40.5" customHeight="1" x14ac:dyDescent="0.25">
      <c r="A313" s="144"/>
      <c r="B313" s="145"/>
      <c r="C313" s="84" t="s">
        <v>18</v>
      </c>
      <c r="D313" s="109">
        <f t="shared" si="16"/>
        <v>1975.8</v>
      </c>
      <c r="E313" s="28"/>
      <c r="F313" s="28"/>
      <c r="G313" s="29"/>
      <c r="H313" s="29"/>
      <c r="I313" s="28"/>
      <c r="J313" s="21">
        <v>1975.8</v>
      </c>
      <c r="K313" s="29"/>
      <c r="L313" s="29"/>
      <c r="M313" s="29"/>
      <c r="N313" s="29"/>
      <c r="O313" s="158"/>
      <c r="P313" s="156"/>
      <c r="Q313" s="143"/>
    </row>
    <row r="314" spans="1:18" s="1" customFormat="1" ht="33.75" customHeight="1" x14ac:dyDescent="0.25">
      <c r="A314" s="144" t="s">
        <v>382</v>
      </c>
      <c r="B314" s="145" t="s">
        <v>384</v>
      </c>
      <c r="C314" s="84" t="s">
        <v>70</v>
      </c>
      <c r="D314" s="109">
        <f t="shared" ref="D314:D325" si="17">K314</f>
        <v>3904.5599999999995</v>
      </c>
      <c r="E314" s="28"/>
      <c r="F314" s="28"/>
      <c r="G314" s="29"/>
      <c r="H314" s="29"/>
      <c r="I314" s="28"/>
      <c r="J314" s="21"/>
      <c r="K314" s="55">
        <f>K315+K316+K317</f>
        <v>3904.5599999999995</v>
      </c>
      <c r="L314" s="29"/>
      <c r="M314" s="29"/>
      <c r="N314" s="29"/>
      <c r="O314" s="155" t="s">
        <v>385</v>
      </c>
      <c r="P314" s="156" t="s">
        <v>254</v>
      </c>
      <c r="Q314" s="143" t="s">
        <v>386</v>
      </c>
      <c r="R314" s="85"/>
    </row>
    <row r="315" spans="1:18" s="1" customFormat="1" ht="70.5" customHeight="1" x14ac:dyDescent="0.25">
      <c r="A315" s="144"/>
      <c r="B315" s="145"/>
      <c r="C315" s="84" t="s">
        <v>261</v>
      </c>
      <c r="D315" s="109">
        <f t="shared" si="17"/>
        <v>1483.73</v>
      </c>
      <c r="E315" s="28"/>
      <c r="F315" s="28"/>
      <c r="G315" s="29"/>
      <c r="H315" s="29"/>
      <c r="I315" s="28"/>
      <c r="J315" s="21"/>
      <c r="K315" s="55">
        <v>1483.73</v>
      </c>
      <c r="L315" s="29"/>
      <c r="M315" s="29"/>
      <c r="N315" s="29"/>
      <c r="O315" s="155"/>
      <c r="P315" s="156"/>
      <c r="Q315" s="143"/>
    </row>
    <row r="316" spans="1:18" s="1" customFormat="1" ht="65.25" customHeight="1" x14ac:dyDescent="0.25">
      <c r="A316" s="144"/>
      <c r="B316" s="145"/>
      <c r="C316" s="84" t="s">
        <v>341</v>
      </c>
      <c r="D316" s="109">
        <f>K316</f>
        <v>78.09</v>
      </c>
      <c r="E316" s="28"/>
      <c r="F316" s="28"/>
      <c r="G316" s="29"/>
      <c r="H316" s="29"/>
      <c r="I316" s="28"/>
      <c r="J316" s="21"/>
      <c r="K316" s="55">
        <v>78.09</v>
      </c>
      <c r="L316" s="29"/>
      <c r="M316" s="29"/>
      <c r="N316" s="29"/>
      <c r="O316" s="155"/>
      <c r="P316" s="156"/>
      <c r="Q316" s="143"/>
      <c r="R316" s="85"/>
    </row>
    <row r="317" spans="1:18" s="1" customFormat="1" ht="49.5" customHeight="1" x14ac:dyDescent="0.25">
      <c r="A317" s="144"/>
      <c r="B317" s="145"/>
      <c r="C317" s="84" t="s">
        <v>18</v>
      </c>
      <c r="D317" s="109">
        <f t="shared" si="17"/>
        <v>2342.7399999999998</v>
      </c>
      <c r="E317" s="28"/>
      <c r="F317" s="28"/>
      <c r="G317" s="29"/>
      <c r="H317" s="29"/>
      <c r="I317" s="28"/>
      <c r="J317" s="21"/>
      <c r="K317" s="55">
        <v>2342.7399999999998</v>
      </c>
      <c r="L317" s="29"/>
      <c r="M317" s="29"/>
      <c r="N317" s="29"/>
      <c r="O317" s="155"/>
      <c r="P317" s="156"/>
      <c r="Q317" s="143"/>
    </row>
    <row r="318" spans="1:18" s="1" customFormat="1" ht="36.75" customHeight="1" x14ac:dyDescent="0.25">
      <c r="A318" s="144" t="s">
        <v>383</v>
      </c>
      <c r="B318" s="145" t="s">
        <v>391</v>
      </c>
      <c r="C318" s="84" t="s">
        <v>70</v>
      </c>
      <c r="D318" s="109">
        <f t="shared" si="17"/>
        <v>3375.71</v>
      </c>
      <c r="E318" s="28"/>
      <c r="F318" s="28"/>
      <c r="G318" s="29"/>
      <c r="H318" s="29"/>
      <c r="I318" s="28"/>
      <c r="J318" s="21"/>
      <c r="K318" s="55">
        <f>K319+K320+K321</f>
        <v>3375.71</v>
      </c>
      <c r="L318" s="29"/>
      <c r="M318" s="29"/>
      <c r="N318" s="29"/>
      <c r="O318" s="155" t="s">
        <v>385</v>
      </c>
      <c r="P318" s="156" t="s">
        <v>254</v>
      </c>
      <c r="Q318" s="143" t="s">
        <v>388</v>
      </c>
    </row>
    <row r="319" spans="1:18" s="1" customFormat="1" ht="60" customHeight="1" x14ac:dyDescent="0.25">
      <c r="A319" s="144"/>
      <c r="B319" s="145"/>
      <c r="C319" s="84" t="s">
        <v>261</v>
      </c>
      <c r="D319" s="109">
        <f t="shared" si="17"/>
        <v>1519.87</v>
      </c>
      <c r="E319" s="28"/>
      <c r="F319" s="28"/>
      <c r="G319" s="29"/>
      <c r="H319" s="29"/>
      <c r="I319" s="28"/>
      <c r="J319" s="21"/>
      <c r="K319" s="55">
        <v>1519.87</v>
      </c>
      <c r="L319" s="29"/>
      <c r="M319" s="29"/>
      <c r="N319" s="29"/>
      <c r="O319" s="155"/>
      <c r="P319" s="156"/>
      <c r="Q319" s="143"/>
    </row>
    <row r="320" spans="1:18" s="1" customFormat="1" ht="76.5" customHeight="1" x14ac:dyDescent="0.25">
      <c r="A320" s="144"/>
      <c r="B320" s="145"/>
      <c r="C320" s="84" t="s">
        <v>341</v>
      </c>
      <c r="D320" s="109">
        <f t="shared" si="17"/>
        <v>79.989999999999995</v>
      </c>
      <c r="E320" s="28"/>
      <c r="F320" s="28"/>
      <c r="G320" s="29"/>
      <c r="H320" s="29"/>
      <c r="I320" s="28"/>
      <c r="J320" s="21"/>
      <c r="K320" s="55">
        <v>79.989999999999995</v>
      </c>
      <c r="L320" s="29"/>
      <c r="M320" s="29"/>
      <c r="N320" s="29"/>
      <c r="O320" s="155"/>
      <c r="P320" s="156"/>
      <c r="Q320" s="143"/>
      <c r="R320" s="85"/>
    </row>
    <row r="321" spans="1:18" s="1" customFormat="1" ht="45" customHeight="1" x14ac:dyDescent="0.25">
      <c r="A321" s="144"/>
      <c r="B321" s="145"/>
      <c r="C321" s="84" t="s">
        <v>18</v>
      </c>
      <c r="D321" s="109">
        <f t="shared" si="17"/>
        <v>1775.85</v>
      </c>
      <c r="E321" s="28"/>
      <c r="F321" s="28"/>
      <c r="G321" s="29"/>
      <c r="H321" s="29"/>
      <c r="I321" s="28"/>
      <c r="J321" s="21"/>
      <c r="K321" s="55">
        <v>1775.85</v>
      </c>
      <c r="L321" s="29"/>
      <c r="M321" s="29"/>
      <c r="N321" s="29"/>
      <c r="O321" s="155"/>
      <c r="P321" s="156"/>
      <c r="Q321" s="143"/>
    </row>
    <row r="322" spans="1:18" s="1" customFormat="1" ht="36.75" customHeight="1" x14ac:dyDescent="0.25">
      <c r="A322" s="144" t="s">
        <v>387</v>
      </c>
      <c r="B322" s="145" t="s">
        <v>437</v>
      </c>
      <c r="C322" s="84" t="s">
        <v>70</v>
      </c>
      <c r="D322" s="109">
        <f t="shared" si="17"/>
        <v>3194.68</v>
      </c>
      <c r="E322" s="28"/>
      <c r="F322" s="28"/>
      <c r="G322" s="29"/>
      <c r="H322" s="29"/>
      <c r="I322" s="28"/>
      <c r="J322" s="21"/>
      <c r="K322" s="55">
        <f>K323+K325+K324</f>
        <v>3194.68</v>
      </c>
      <c r="L322" s="29"/>
      <c r="M322" s="29"/>
      <c r="N322" s="29"/>
      <c r="O322" s="155" t="s">
        <v>385</v>
      </c>
      <c r="P322" s="156" t="s">
        <v>254</v>
      </c>
      <c r="Q322" s="143" t="s">
        <v>389</v>
      </c>
    </row>
    <row r="323" spans="1:18" s="1" customFormat="1" ht="63" customHeight="1" x14ac:dyDescent="0.25">
      <c r="A323" s="144"/>
      <c r="B323" s="145"/>
      <c r="C323" s="84" t="s">
        <v>261</v>
      </c>
      <c r="D323" s="109">
        <f t="shared" si="17"/>
        <v>1295.5999999999999</v>
      </c>
      <c r="E323" s="28"/>
      <c r="F323" s="28"/>
      <c r="G323" s="29"/>
      <c r="H323" s="29"/>
      <c r="I323" s="28"/>
      <c r="J323" s="21"/>
      <c r="K323" s="55">
        <v>1295.5999999999999</v>
      </c>
      <c r="L323" s="29"/>
      <c r="M323" s="29"/>
      <c r="N323" s="29"/>
      <c r="O323" s="155"/>
      <c r="P323" s="156"/>
      <c r="Q323" s="143"/>
    </row>
    <row r="324" spans="1:18" s="1" customFormat="1" ht="68.25" customHeight="1" x14ac:dyDescent="0.25">
      <c r="A324" s="144"/>
      <c r="B324" s="145"/>
      <c r="C324" s="84" t="s">
        <v>341</v>
      </c>
      <c r="D324" s="109">
        <f t="shared" si="17"/>
        <v>68.19</v>
      </c>
      <c r="E324" s="28"/>
      <c r="F324" s="28"/>
      <c r="G324" s="29"/>
      <c r="H324" s="29"/>
      <c r="I324" s="28"/>
      <c r="J324" s="21"/>
      <c r="K324" s="55">
        <v>68.19</v>
      </c>
      <c r="L324" s="29"/>
      <c r="M324" s="29"/>
      <c r="N324" s="29"/>
      <c r="O324" s="155"/>
      <c r="P324" s="156"/>
      <c r="Q324" s="143"/>
    </row>
    <row r="325" spans="1:18" s="1" customFormat="1" ht="46.5" customHeight="1" x14ac:dyDescent="0.25">
      <c r="A325" s="144"/>
      <c r="B325" s="145"/>
      <c r="C325" s="84" t="s">
        <v>18</v>
      </c>
      <c r="D325" s="109">
        <f t="shared" si="17"/>
        <v>1830.89</v>
      </c>
      <c r="E325" s="28"/>
      <c r="F325" s="28"/>
      <c r="G325" s="29"/>
      <c r="H325" s="29"/>
      <c r="I325" s="28"/>
      <c r="J325" s="21"/>
      <c r="K325" s="55">
        <v>1830.89</v>
      </c>
      <c r="L325" s="29"/>
      <c r="M325" s="29"/>
      <c r="N325" s="29"/>
      <c r="O325" s="155"/>
      <c r="P325" s="156"/>
      <c r="Q325" s="143"/>
    </row>
    <row r="326" spans="1:18" s="1" customFormat="1" ht="78.75" customHeight="1" x14ac:dyDescent="0.25">
      <c r="A326" s="115" t="s">
        <v>392</v>
      </c>
      <c r="B326" s="84" t="s">
        <v>346</v>
      </c>
      <c r="C326" s="84" t="s">
        <v>261</v>
      </c>
      <c r="D326" s="109">
        <f>J326</f>
        <v>380.95</v>
      </c>
      <c r="E326" s="28"/>
      <c r="F326" s="28"/>
      <c r="G326" s="29"/>
      <c r="H326" s="29"/>
      <c r="I326" s="28"/>
      <c r="J326" s="21">
        <v>380.95</v>
      </c>
      <c r="K326" s="21"/>
      <c r="L326" s="29"/>
      <c r="M326" s="29"/>
      <c r="N326" s="29"/>
      <c r="O326" s="108" t="s">
        <v>309</v>
      </c>
      <c r="P326" s="111" t="s">
        <v>254</v>
      </c>
      <c r="Q326" s="94" t="s">
        <v>390</v>
      </c>
    </row>
    <row r="327" spans="1:18" s="1" customFormat="1" ht="36.75" customHeight="1" x14ac:dyDescent="0.25">
      <c r="A327" s="144" t="s">
        <v>398</v>
      </c>
      <c r="B327" s="145" t="s">
        <v>407</v>
      </c>
      <c r="C327" s="84" t="s">
        <v>70</v>
      </c>
      <c r="D327" s="109">
        <f t="shared" ref="D327:D334" si="18">K327</f>
        <v>3036.16</v>
      </c>
      <c r="E327" s="28"/>
      <c r="F327" s="28"/>
      <c r="G327" s="29"/>
      <c r="H327" s="29"/>
      <c r="I327" s="28"/>
      <c r="J327" s="21"/>
      <c r="K327" s="55">
        <f>K328+K329+K330</f>
        <v>3036.16</v>
      </c>
      <c r="L327" s="29"/>
      <c r="M327" s="29"/>
      <c r="N327" s="29"/>
      <c r="O327" s="155" t="s">
        <v>385</v>
      </c>
      <c r="P327" s="156" t="s">
        <v>204</v>
      </c>
      <c r="Q327" s="143" t="s">
        <v>407</v>
      </c>
    </row>
    <row r="328" spans="1:18" s="1" customFormat="1" ht="64.5" customHeight="1" x14ac:dyDescent="0.25">
      <c r="A328" s="144"/>
      <c r="B328" s="145"/>
      <c r="C328" s="84" t="s">
        <v>261</v>
      </c>
      <c r="D328" s="109">
        <f t="shared" si="18"/>
        <v>1153.7</v>
      </c>
      <c r="E328" s="28"/>
      <c r="F328" s="28"/>
      <c r="G328" s="29"/>
      <c r="H328" s="29"/>
      <c r="I328" s="28"/>
      <c r="J328" s="21"/>
      <c r="K328" s="55">
        <v>1153.7</v>
      </c>
      <c r="L328" s="29"/>
      <c r="M328" s="29"/>
      <c r="N328" s="29"/>
      <c r="O328" s="155"/>
      <c r="P328" s="156"/>
      <c r="Q328" s="143"/>
    </row>
    <row r="329" spans="1:18" s="1" customFormat="1" ht="77.25" customHeight="1" x14ac:dyDescent="0.25">
      <c r="A329" s="144"/>
      <c r="B329" s="145"/>
      <c r="C329" s="84" t="s">
        <v>341</v>
      </c>
      <c r="D329" s="109">
        <f t="shared" si="18"/>
        <v>60.72</v>
      </c>
      <c r="E329" s="28"/>
      <c r="F329" s="28"/>
      <c r="G329" s="29"/>
      <c r="H329" s="29"/>
      <c r="I329" s="28"/>
      <c r="J329" s="21"/>
      <c r="K329" s="55">
        <v>60.72</v>
      </c>
      <c r="L329" s="29"/>
      <c r="M329" s="29"/>
      <c r="N329" s="29"/>
      <c r="O329" s="155"/>
      <c r="P329" s="156"/>
      <c r="Q329" s="143"/>
      <c r="R329" s="85"/>
    </row>
    <row r="330" spans="1:18" s="1" customFormat="1" ht="48" customHeight="1" x14ac:dyDescent="0.25">
      <c r="A330" s="144"/>
      <c r="B330" s="145"/>
      <c r="C330" s="84" t="s">
        <v>18</v>
      </c>
      <c r="D330" s="109">
        <f t="shared" si="18"/>
        <v>1821.74</v>
      </c>
      <c r="E330" s="28"/>
      <c r="F330" s="28"/>
      <c r="G330" s="29"/>
      <c r="H330" s="29"/>
      <c r="I330" s="28"/>
      <c r="J330" s="21"/>
      <c r="K330" s="55">
        <v>1821.74</v>
      </c>
      <c r="L330" s="29"/>
      <c r="M330" s="29"/>
      <c r="N330" s="29"/>
      <c r="O330" s="155"/>
      <c r="P330" s="156"/>
      <c r="Q330" s="143"/>
    </row>
    <row r="331" spans="1:18" s="1" customFormat="1" ht="40.5" customHeight="1" x14ac:dyDescent="0.25">
      <c r="A331" s="144" t="s">
        <v>399</v>
      </c>
      <c r="B331" s="145" t="s">
        <v>408</v>
      </c>
      <c r="C331" s="84" t="s">
        <v>70</v>
      </c>
      <c r="D331" s="109">
        <f t="shared" si="18"/>
        <v>4070.24</v>
      </c>
      <c r="E331" s="28"/>
      <c r="F331" s="28"/>
      <c r="G331" s="29"/>
      <c r="H331" s="29"/>
      <c r="I331" s="28"/>
      <c r="J331" s="21"/>
      <c r="K331" s="55">
        <f>K332+K333+K334</f>
        <v>4070.24</v>
      </c>
      <c r="L331" s="29"/>
      <c r="M331" s="29"/>
      <c r="N331" s="29"/>
      <c r="O331" s="155" t="s">
        <v>385</v>
      </c>
      <c r="P331" s="156" t="s">
        <v>204</v>
      </c>
      <c r="Q331" s="143" t="s">
        <v>408</v>
      </c>
    </row>
    <row r="332" spans="1:18" s="1" customFormat="1" ht="57" customHeight="1" x14ac:dyDescent="0.25">
      <c r="A332" s="144"/>
      <c r="B332" s="145"/>
      <c r="C332" s="84" t="s">
        <v>261</v>
      </c>
      <c r="D332" s="109">
        <f t="shared" si="18"/>
        <v>1520</v>
      </c>
      <c r="E332" s="28"/>
      <c r="F332" s="28"/>
      <c r="G332" s="29"/>
      <c r="H332" s="29"/>
      <c r="I332" s="28"/>
      <c r="J332" s="21"/>
      <c r="K332" s="55">
        <v>1520</v>
      </c>
      <c r="L332" s="29"/>
      <c r="M332" s="29"/>
      <c r="N332" s="29"/>
      <c r="O332" s="155"/>
      <c r="P332" s="156"/>
      <c r="Q332" s="143"/>
    </row>
    <row r="333" spans="1:18" s="1" customFormat="1" ht="61.5" customHeight="1" x14ac:dyDescent="0.25">
      <c r="A333" s="144"/>
      <c r="B333" s="145"/>
      <c r="C333" s="84" t="s">
        <v>341</v>
      </c>
      <c r="D333" s="109">
        <f t="shared" si="18"/>
        <v>150.24</v>
      </c>
      <c r="E333" s="28"/>
      <c r="F333" s="28"/>
      <c r="G333" s="29"/>
      <c r="H333" s="29"/>
      <c r="I333" s="28"/>
      <c r="J333" s="21"/>
      <c r="K333" s="55">
        <v>150.24</v>
      </c>
      <c r="L333" s="29"/>
      <c r="M333" s="29"/>
      <c r="N333" s="29"/>
      <c r="O333" s="155"/>
      <c r="P333" s="156"/>
      <c r="Q333" s="143"/>
    </row>
    <row r="334" spans="1:18" s="1" customFormat="1" ht="57.75" customHeight="1" x14ac:dyDescent="0.25">
      <c r="A334" s="144"/>
      <c r="B334" s="145"/>
      <c r="C334" s="84" t="s">
        <v>18</v>
      </c>
      <c r="D334" s="109">
        <f t="shared" si="18"/>
        <v>2400</v>
      </c>
      <c r="E334" s="28"/>
      <c r="F334" s="28"/>
      <c r="G334" s="29"/>
      <c r="H334" s="29"/>
      <c r="I334" s="28"/>
      <c r="J334" s="21"/>
      <c r="K334" s="55">
        <v>2400</v>
      </c>
      <c r="L334" s="29"/>
      <c r="M334" s="29"/>
      <c r="N334" s="29"/>
      <c r="O334" s="155"/>
      <c r="P334" s="156"/>
      <c r="Q334" s="143"/>
    </row>
    <row r="335" spans="1:18" s="1" customFormat="1" ht="57.75" customHeight="1" x14ac:dyDescent="0.25">
      <c r="A335" s="144" t="s">
        <v>442</v>
      </c>
      <c r="B335" s="145" t="s">
        <v>443</v>
      </c>
      <c r="C335" s="84" t="s">
        <v>70</v>
      </c>
      <c r="D335" s="109">
        <f t="shared" ref="D335:D346" si="19">L335</f>
        <v>3948.84</v>
      </c>
      <c r="E335" s="28"/>
      <c r="F335" s="28"/>
      <c r="G335" s="29"/>
      <c r="H335" s="29"/>
      <c r="I335" s="28"/>
      <c r="J335" s="21"/>
      <c r="K335" s="21"/>
      <c r="L335" s="21">
        <f>L336+L337+L338</f>
        <v>3948.84</v>
      </c>
      <c r="M335" s="29"/>
      <c r="N335" s="29"/>
      <c r="O335" s="158" t="s">
        <v>444</v>
      </c>
      <c r="P335" s="156" t="s">
        <v>254</v>
      </c>
      <c r="Q335" s="143" t="s">
        <v>445</v>
      </c>
      <c r="R335" s="85">
        <f>L335+L339+L343</f>
        <v>11124.93</v>
      </c>
    </row>
    <row r="336" spans="1:18" s="1" customFormat="1" ht="57.75" customHeight="1" x14ac:dyDescent="0.25">
      <c r="A336" s="144"/>
      <c r="B336" s="145"/>
      <c r="C336" s="84" t="s">
        <v>261</v>
      </c>
      <c r="D336" s="109">
        <f t="shared" si="19"/>
        <v>1500.56</v>
      </c>
      <c r="E336" s="28"/>
      <c r="F336" s="28"/>
      <c r="G336" s="29"/>
      <c r="H336" s="29"/>
      <c r="I336" s="28"/>
      <c r="J336" s="21"/>
      <c r="K336" s="21"/>
      <c r="L336" s="21">
        <v>1500.56</v>
      </c>
      <c r="M336" s="29"/>
      <c r="N336" s="29"/>
      <c r="O336" s="158"/>
      <c r="P336" s="156"/>
      <c r="Q336" s="143"/>
    </row>
    <row r="337" spans="1:18" s="1" customFormat="1" ht="57.75" customHeight="1" x14ac:dyDescent="0.25">
      <c r="A337" s="144"/>
      <c r="B337" s="145"/>
      <c r="C337" s="84" t="s">
        <v>341</v>
      </c>
      <c r="D337" s="109">
        <f t="shared" si="19"/>
        <v>78.98</v>
      </c>
      <c r="E337" s="28"/>
      <c r="F337" s="28"/>
      <c r="G337" s="29"/>
      <c r="H337" s="29"/>
      <c r="I337" s="28"/>
      <c r="J337" s="21"/>
      <c r="K337" s="21"/>
      <c r="L337" s="21">
        <v>78.98</v>
      </c>
      <c r="M337" s="29"/>
      <c r="N337" s="29"/>
      <c r="O337" s="158"/>
      <c r="P337" s="156"/>
      <c r="Q337" s="143"/>
    </row>
    <row r="338" spans="1:18" s="1" customFormat="1" ht="57.75" customHeight="1" x14ac:dyDescent="0.25">
      <c r="A338" s="144"/>
      <c r="B338" s="145"/>
      <c r="C338" s="84" t="s">
        <v>18</v>
      </c>
      <c r="D338" s="109">
        <f t="shared" si="19"/>
        <v>2369.3000000000002</v>
      </c>
      <c r="E338" s="28"/>
      <c r="F338" s="28"/>
      <c r="G338" s="29"/>
      <c r="H338" s="29"/>
      <c r="I338" s="28"/>
      <c r="J338" s="21"/>
      <c r="K338" s="21"/>
      <c r="L338" s="21">
        <v>2369.3000000000002</v>
      </c>
      <c r="M338" s="29"/>
      <c r="N338" s="29"/>
      <c r="O338" s="158"/>
      <c r="P338" s="156"/>
      <c r="Q338" s="143"/>
    </row>
    <row r="339" spans="1:18" s="1" customFormat="1" ht="57.75" customHeight="1" x14ac:dyDescent="0.25">
      <c r="A339" s="144" t="s">
        <v>446</v>
      </c>
      <c r="B339" s="145" t="s">
        <v>447</v>
      </c>
      <c r="C339" s="84" t="s">
        <v>70</v>
      </c>
      <c r="D339" s="109">
        <f t="shared" si="19"/>
        <v>3837.46</v>
      </c>
      <c r="E339" s="28"/>
      <c r="F339" s="28"/>
      <c r="G339" s="29"/>
      <c r="H339" s="29"/>
      <c r="I339" s="28"/>
      <c r="J339" s="21"/>
      <c r="K339" s="21"/>
      <c r="L339" s="21">
        <f>L340+L341+L342</f>
        <v>3837.46</v>
      </c>
      <c r="M339" s="29"/>
      <c r="N339" s="29"/>
      <c r="O339" s="158" t="s">
        <v>444</v>
      </c>
      <c r="P339" s="156" t="s">
        <v>254</v>
      </c>
      <c r="Q339" s="143" t="s">
        <v>447</v>
      </c>
    </row>
    <row r="340" spans="1:18" s="1" customFormat="1" ht="57.75" customHeight="1" x14ac:dyDescent="0.25">
      <c r="A340" s="144"/>
      <c r="B340" s="145"/>
      <c r="C340" s="84" t="s">
        <v>261</v>
      </c>
      <c r="D340" s="109">
        <f t="shared" si="19"/>
        <v>1458.23</v>
      </c>
      <c r="E340" s="28"/>
      <c r="F340" s="28"/>
      <c r="G340" s="29"/>
      <c r="H340" s="29"/>
      <c r="I340" s="28"/>
      <c r="J340" s="21"/>
      <c r="K340" s="21"/>
      <c r="L340" s="21">
        <v>1458.23</v>
      </c>
      <c r="M340" s="29"/>
      <c r="N340" s="29"/>
      <c r="O340" s="158"/>
      <c r="P340" s="156"/>
      <c r="Q340" s="143"/>
    </row>
    <row r="341" spans="1:18" s="1" customFormat="1" ht="57.75" customHeight="1" x14ac:dyDescent="0.25">
      <c r="A341" s="144"/>
      <c r="B341" s="145"/>
      <c r="C341" s="84" t="s">
        <v>341</v>
      </c>
      <c r="D341" s="109">
        <f t="shared" si="19"/>
        <v>76.75</v>
      </c>
      <c r="E341" s="28"/>
      <c r="F341" s="28"/>
      <c r="G341" s="29"/>
      <c r="H341" s="90"/>
      <c r="I341" s="28"/>
      <c r="J341" s="21"/>
      <c r="K341" s="21"/>
      <c r="L341" s="21">
        <v>76.75</v>
      </c>
      <c r="M341" s="29"/>
      <c r="N341" s="29"/>
      <c r="O341" s="158"/>
      <c r="P341" s="156"/>
      <c r="Q341" s="143"/>
    </row>
    <row r="342" spans="1:18" s="1" customFormat="1" ht="57.75" customHeight="1" x14ac:dyDescent="0.25">
      <c r="A342" s="144"/>
      <c r="B342" s="145"/>
      <c r="C342" s="84" t="s">
        <v>18</v>
      </c>
      <c r="D342" s="109">
        <f t="shared" si="19"/>
        <v>2302.48</v>
      </c>
      <c r="E342" s="28"/>
      <c r="F342" s="28"/>
      <c r="G342" s="29"/>
      <c r="H342" s="29"/>
      <c r="I342" s="28"/>
      <c r="J342" s="21"/>
      <c r="K342" s="21"/>
      <c r="L342" s="21">
        <v>2302.48</v>
      </c>
      <c r="M342" s="29"/>
      <c r="N342" s="29"/>
      <c r="O342" s="158"/>
      <c r="P342" s="156"/>
      <c r="Q342" s="143"/>
    </row>
    <row r="343" spans="1:18" s="1" customFormat="1" ht="57.75" customHeight="1" x14ac:dyDescent="0.25">
      <c r="A343" s="144" t="s">
        <v>448</v>
      </c>
      <c r="B343" s="145" t="s">
        <v>449</v>
      </c>
      <c r="C343" s="84" t="s">
        <v>70</v>
      </c>
      <c r="D343" s="109">
        <f t="shared" si="19"/>
        <v>3338.63</v>
      </c>
      <c r="E343" s="28"/>
      <c r="F343" s="28"/>
      <c r="G343" s="29"/>
      <c r="H343" s="29"/>
      <c r="I343" s="28"/>
      <c r="J343" s="21"/>
      <c r="K343" s="21"/>
      <c r="L343" s="21">
        <f>L344+L345+L346</f>
        <v>3338.63</v>
      </c>
      <c r="M343" s="29"/>
      <c r="N343" s="29"/>
      <c r="O343" s="158" t="s">
        <v>444</v>
      </c>
      <c r="P343" s="156" t="s">
        <v>254</v>
      </c>
      <c r="Q343" s="143" t="s">
        <v>449</v>
      </c>
    </row>
    <row r="344" spans="1:18" s="1" customFormat="1" ht="57.75" customHeight="1" x14ac:dyDescent="0.25">
      <c r="A344" s="144"/>
      <c r="B344" s="145"/>
      <c r="C344" s="84" t="s">
        <v>261</v>
      </c>
      <c r="D344" s="109">
        <f t="shared" si="19"/>
        <v>1268.68</v>
      </c>
      <c r="E344" s="28"/>
      <c r="F344" s="28"/>
      <c r="G344" s="29"/>
      <c r="H344" s="29"/>
      <c r="I344" s="28"/>
      <c r="J344" s="21"/>
      <c r="K344" s="21"/>
      <c r="L344" s="21">
        <v>1268.68</v>
      </c>
      <c r="M344" s="29"/>
      <c r="N344" s="29"/>
      <c r="O344" s="158"/>
      <c r="P344" s="156"/>
      <c r="Q344" s="143"/>
    </row>
    <row r="345" spans="1:18" s="1" customFormat="1" ht="57.75" customHeight="1" x14ac:dyDescent="0.25">
      <c r="A345" s="144"/>
      <c r="B345" s="145"/>
      <c r="C345" s="84" t="s">
        <v>341</v>
      </c>
      <c r="D345" s="109">
        <f t="shared" si="19"/>
        <v>66.77</v>
      </c>
      <c r="E345" s="28"/>
      <c r="F345" s="28"/>
      <c r="G345" s="29"/>
      <c r="H345" s="29"/>
      <c r="I345" s="28"/>
      <c r="J345" s="21"/>
      <c r="K345" s="21"/>
      <c r="L345" s="21">
        <v>66.77</v>
      </c>
      <c r="M345" s="29"/>
      <c r="N345" s="29"/>
      <c r="O345" s="158"/>
      <c r="P345" s="156"/>
      <c r="Q345" s="143"/>
    </row>
    <row r="346" spans="1:18" s="1" customFormat="1" ht="57.75" customHeight="1" x14ac:dyDescent="0.25">
      <c r="A346" s="144"/>
      <c r="B346" s="145"/>
      <c r="C346" s="84" t="s">
        <v>18</v>
      </c>
      <c r="D346" s="109">
        <f t="shared" si="19"/>
        <v>2003.18</v>
      </c>
      <c r="E346" s="28"/>
      <c r="F346" s="28"/>
      <c r="G346" s="29"/>
      <c r="H346" s="29"/>
      <c r="I346" s="28"/>
      <c r="J346" s="21"/>
      <c r="K346" s="21"/>
      <c r="L346" s="21">
        <v>2003.18</v>
      </c>
      <c r="M346" s="29"/>
      <c r="N346" s="29"/>
      <c r="O346" s="158"/>
      <c r="P346" s="156"/>
      <c r="Q346" s="143"/>
    </row>
    <row r="347" spans="1:18" s="1" customFormat="1" ht="57.75" customHeight="1" x14ac:dyDescent="0.25">
      <c r="A347" s="144" t="s">
        <v>470</v>
      </c>
      <c r="B347" s="161" t="s">
        <v>471</v>
      </c>
      <c r="C347" s="84" t="s">
        <v>70</v>
      </c>
      <c r="D347" s="109">
        <f>L347</f>
        <v>3977.0699999999997</v>
      </c>
      <c r="E347" s="28"/>
      <c r="F347" s="28"/>
      <c r="G347" s="29"/>
      <c r="H347" s="29"/>
      <c r="I347" s="28"/>
      <c r="J347" s="21"/>
      <c r="K347" s="21"/>
      <c r="L347" s="21">
        <f>L348+L349+L350</f>
        <v>3977.0699999999997</v>
      </c>
      <c r="M347" s="29"/>
      <c r="N347" s="29"/>
      <c r="O347" s="158" t="s">
        <v>444</v>
      </c>
      <c r="P347" s="156" t="s">
        <v>204</v>
      </c>
      <c r="Q347" s="143" t="s">
        <v>471</v>
      </c>
    </row>
    <row r="348" spans="1:18" s="1" customFormat="1" ht="57.75" customHeight="1" x14ac:dyDescent="0.25">
      <c r="A348" s="144"/>
      <c r="B348" s="161"/>
      <c r="C348" s="84" t="s">
        <v>261</v>
      </c>
      <c r="D348" s="109">
        <f>L348</f>
        <v>1511.3</v>
      </c>
      <c r="E348" s="28"/>
      <c r="F348" s="28"/>
      <c r="G348" s="29"/>
      <c r="H348" s="29"/>
      <c r="I348" s="28"/>
      <c r="J348" s="21"/>
      <c r="K348" s="21"/>
      <c r="L348" s="21">
        <v>1511.3</v>
      </c>
      <c r="M348" s="29"/>
      <c r="N348" s="29"/>
      <c r="O348" s="158"/>
      <c r="P348" s="156"/>
      <c r="Q348" s="143"/>
    </row>
    <row r="349" spans="1:18" s="1" customFormat="1" ht="57.75" customHeight="1" x14ac:dyDescent="0.25">
      <c r="A349" s="144"/>
      <c r="B349" s="161"/>
      <c r="C349" s="84" t="s">
        <v>341</v>
      </c>
      <c r="D349" s="109">
        <f>L349</f>
        <v>79.540000000000006</v>
      </c>
      <c r="E349" s="28"/>
      <c r="F349" s="28"/>
      <c r="G349" s="29"/>
      <c r="H349" s="29"/>
      <c r="I349" s="28"/>
      <c r="J349" s="21"/>
      <c r="K349" s="21"/>
      <c r="L349" s="21">
        <v>79.540000000000006</v>
      </c>
      <c r="M349" s="29"/>
      <c r="N349" s="29"/>
      <c r="O349" s="158"/>
      <c r="P349" s="156"/>
      <c r="Q349" s="143"/>
    </row>
    <row r="350" spans="1:18" s="1" customFormat="1" ht="57.75" customHeight="1" x14ac:dyDescent="0.25">
      <c r="A350" s="144"/>
      <c r="B350" s="161"/>
      <c r="C350" s="84" t="s">
        <v>18</v>
      </c>
      <c r="D350" s="109">
        <f>L350</f>
        <v>2386.23</v>
      </c>
      <c r="E350" s="28"/>
      <c r="F350" s="28"/>
      <c r="G350" s="29"/>
      <c r="H350" s="29"/>
      <c r="I350" s="28"/>
      <c r="J350" s="21"/>
      <c r="K350" s="21"/>
      <c r="L350" s="21">
        <v>2386.23</v>
      </c>
      <c r="M350" s="29"/>
      <c r="N350" s="29"/>
      <c r="O350" s="158"/>
      <c r="P350" s="156"/>
      <c r="Q350" s="143"/>
      <c r="R350" s="85"/>
    </row>
    <row r="351" spans="1:18" s="1" customFormat="1" ht="20.25" customHeight="1" x14ac:dyDescent="0.25">
      <c r="A351" s="115"/>
      <c r="B351" s="115" t="s">
        <v>429</v>
      </c>
      <c r="C351" s="115"/>
      <c r="D351" s="28">
        <f>J351+K351+L351+M351</f>
        <v>50687.6</v>
      </c>
      <c r="E351" s="28"/>
      <c r="F351" s="28"/>
      <c r="G351" s="29"/>
      <c r="H351" s="29"/>
      <c r="I351" s="28"/>
      <c r="J351" s="28">
        <f>J290+J294+J298+J302+J306+J310+J326</f>
        <v>18004.25</v>
      </c>
      <c r="K351" s="57">
        <f>K314+K318+K322+K327+K331</f>
        <v>17581.349999999999</v>
      </c>
      <c r="L351" s="29">
        <f>L335+L339+L343+L347</f>
        <v>15102</v>
      </c>
      <c r="M351" s="29">
        <v>0</v>
      </c>
      <c r="N351" s="29">
        <v>0</v>
      </c>
      <c r="O351" s="82"/>
      <c r="P351" s="91"/>
      <c r="Q351" s="91"/>
    </row>
    <row r="352" spans="1:18" s="1" customFormat="1" ht="18.75" x14ac:dyDescent="0.3">
      <c r="A352" s="228" t="s">
        <v>430</v>
      </c>
      <c r="B352" s="228"/>
      <c r="C352" s="228"/>
      <c r="D352" s="109">
        <f>E352+F352+G352+H352+I352+J352+K352+L352+M352</f>
        <v>1869239.66041</v>
      </c>
      <c r="E352" s="109">
        <f>E222+E255+E268+E288</f>
        <v>95218</v>
      </c>
      <c r="F352" s="109">
        <f>F222+F255+F268+F288</f>
        <v>106991.54041000002</v>
      </c>
      <c r="G352" s="109">
        <f>G222+G255+G268+G288</f>
        <v>132907.69999999998</v>
      </c>
      <c r="H352" s="109">
        <f>H222+H255+H268+H288</f>
        <v>196567.2</v>
      </c>
      <c r="I352" s="109">
        <f>I222+I255+I268+I288</f>
        <v>235844.46</v>
      </c>
      <c r="J352" s="109">
        <f>J222+J255+J268+J288+J351</f>
        <v>218881.11999999997</v>
      </c>
      <c r="K352" s="109">
        <f>K222+K255+K268+K288+K351</f>
        <v>203808.94999999998</v>
      </c>
      <c r="L352" s="109">
        <f>L222+L255+L268+L288+L351</f>
        <v>338924.42</v>
      </c>
      <c r="M352" s="109">
        <f>M222+M255+M268+M288</f>
        <v>340096.27</v>
      </c>
      <c r="N352" s="109">
        <f>N222+N255+N268+N288+N351</f>
        <v>344137.01999999996</v>
      </c>
      <c r="O352" s="92"/>
      <c r="P352" s="91"/>
      <c r="Q352" s="91"/>
    </row>
    <row r="353" spans="1:18" s="1" customFormat="1" ht="18.75" x14ac:dyDescent="0.3">
      <c r="A353" s="226" t="s">
        <v>178</v>
      </c>
      <c r="B353" s="226"/>
      <c r="C353" s="226"/>
      <c r="D353" s="97">
        <f>E353+F353+G353+H353+I353+J353+K353+L353+M353+N353</f>
        <v>9923225.0991500001</v>
      </c>
      <c r="E353" s="97">
        <f>E184+E352</f>
        <v>781568.86001000006</v>
      </c>
      <c r="F353" s="97">
        <f>F184+F352</f>
        <v>424780.26838000002</v>
      </c>
      <c r="G353" s="97">
        <f>G184+G352</f>
        <v>824050.1807599999</v>
      </c>
      <c r="H353" s="97">
        <v>1089959.33</v>
      </c>
      <c r="I353" s="97">
        <f t="shared" ref="I353:N353" si="20">I184+I352</f>
        <v>1351372.9100000001</v>
      </c>
      <c r="J353" s="97">
        <f t="shared" si="20"/>
        <v>1167320.1399999999</v>
      </c>
      <c r="K353" s="102">
        <f t="shared" si="20"/>
        <v>1165411.03</v>
      </c>
      <c r="L353" s="102">
        <f t="shared" si="20"/>
        <v>1004439.5599999998</v>
      </c>
      <c r="M353" s="102">
        <f t="shared" si="20"/>
        <v>1065584.22</v>
      </c>
      <c r="N353" s="97">
        <f t="shared" si="20"/>
        <v>1048738.6000000001</v>
      </c>
      <c r="O353" s="81"/>
      <c r="P353" s="81"/>
      <c r="Q353" s="81"/>
    </row>
    <row r="354" spans="1:18" s="1" customFormat="1" ht="18.75" x14ac:dyDescent="0.3">
      <c r="A354" s="47"/>
      <c r="B354" s="48"/>
      <c r="C354" s="49"/>
      <c r="D354" s="97"/>
      <c r="E354" s="97"/>
      <c r="F354" s="97"/>
      <c r="G354" s="97"/>
      <c r="H354" s="97"/>
      <c r="I354" s="97"/>
      <c r="J354" s="97"/>
      <c r="K354" s="138"/>
      <c r="L354" s="138"/>
      <c r="M354" s="138"/>
      <c r="N354" s="138"/>
      <c r="O354" s="139"/>
      <c r="P354" s="139"/>
      <c r="Q354" s="140" t="s">
        <v>267</v>
      </c>
    </row>
    <row r="355" spans="1:18" s="1" customFormat="1" ht="18.75" x14ac:dyDescent="0.3">
      <c r="A355" s="134"/>
      <c r="B355" s="135"/>
      <c r="C355" s="136"/>
      <c r="D355" s="137"/>
      <c r="E355" s="137"/>
      <c r="F355" s="137"/>
      <c r="G355" s="137"/>
      <c r="H355" s="137"/>
      <c r="I355" s="137"/>
      <c r="J355" s="137"/>
      <c r="K355" s="76"/>
      <c r="L355" s="76"/>
      <c r="M355" s="76"/>
      <c r="N355" s="76"/>
      <c r="O355" s="50"/>
      <c r="P355" s="50"/>
      <c r="Q355" s="50"/>
    </row>
    <row r="356" spans="1:18" s="1" customFormat="1" x14ac:dyDescent="0.25">
      <c r="A356" s="30"/>
      <c r="B356" s="30"/>
      <c r="C356" s="30"/>
      <c r="D356" s="31"/>
      <c r="E356" s="31"/>
      <c r="F356" s="31"/>
      <c r="G356" s="31"/>
      <c r="H356" s="31"/>
      <c r="I356" s="53"/>
      <c r="J356" s="31"/>
      <c r="K356" s="77"/>
      <c r="L356" s="77"/>
      <c r="M356" s="77"/>
      <c r="N356" s="77"/>
      <c r="O356" s="32" t="s">
        <v>266</v>
      </c>
      <c r="P356" s="32"/>
      <c r="Q356" s="32"/>
    </row>
    <row r="357" spans="1:18" s="1" customFormat="1" ht="16.5" customHeight="1" x14ac:dyDescent="0.3">
      <c r="A357" s="30"/>
      <c r="B357" s="33"/>
      <c r="C357" s="33"/>
      <c r="D357" s="34"/>
      <c r="E357" s="34"/>
      <c r="F357" s="34"/>
      <c r="G357" s="34"/>
      <c r="H357" s="34"/>
      <c r="I357" s="36"/>
      <c r="J357" s="36"/>
      <c r="K357" s="42"/>
      <c r="L357" s="42"/>
      <c r="M357" s="42"/>
      <c r="N357" s="42"/>
      <c r="O357" s="32"/>
      <c r="P357" s="32"/>
      <c r="Q357" s="32"/>
    </row>
    <row r="358" spans="1:18" s="4" customFormat="1" ht="30" customHeight="1" x14ac:dyDescent="0.35">
      <c r="A358" s="33"/>
      <c r="B358" s="33"/>
      <c r="C358" s="33"/>
      <c r="D358" s="36"/>
      <c r="E358" s="36"/>
      <c r="F358" s="36"/>
      <c r="G358" s="37"/>
      <c r="H358" s="36"/>
      <c r="I358" s="37"/>
      <c r="J358" s="37"/>
      <c r="K358" s="78"/>
      <c r="L358" s="78"/>
      <c r="M358" s="78"/>
      <c r="N358" s="78"/>
      <c r="O358" s="38"/>
      <c r="P358" s="39"/>
      <c r="Q358" s="39"/>
    </row>
    <row r="359" spans="1:18" s="4" customFormat="1" ht="30" customHeight="1" x14ac:dyDescent="0.35">
      <c r="A359" s="33"/>
      <c r="B359" s="33"/>
      <c r="C359" s="33"/>
      <c r="D359" s="36"/>
      <c r="E359" s="37"/>
      <c r="F359" s="37"/>
      <c r="G359" s="37"/>
      <c r="H359" s="37"/>
      <c r="I359" s="37"/>
      <c r="J359" s="37"/>
      <c r="K359" s="78"/>
      <c r="L359" s="78"/>
      <c r="M359" s="78"/>
      <c r="N359" s="78"/>
      <c r="O359" s="39"/>
      <c r="P359" s="38"/>
      <c r="Q359" s="38"/>
    </row>
    <row r="360" spans="1:18" s="4" customFormat="1" ht="30" customHeight="1" x14ac:dyDescent="0.35">
      <c r="A360" s="33"/>
      <c r="B360" s="33"/>
      <c r="C360" s="33"/>
      <c r="D360" s="36"/>
      <c r="E360" s="36"/>
      <c r="F360" s="37"/>
      <c r="G360" s="37"/>
      <c r="H360" s="37"/>
      <c r="I360" s="37"/>
      <c r="J360" s="37"/>
      <c r="K360" s="78"/>
      <c r="L360" s="78"/>
      <c r="M360" s="78"/>
      <c r="N360" s="78"/>
      <c r="O360" s="39"/>
      <c r="P360" s="38"/>
      <c r="Q360" s="39"/>
    </row>
    <row r="361" spans="1:18" s="4" customFormat="1" ht="30" customHeight="1" x14ac:dyDescent="0.35">
      <c r="A361" s="33"/>
      <c r="B361" s="33"/>
      <c r="C361" s="33"/>
      <c r="D361" s="36"/>
      <c r="E361" s="36"/>
      <c r="F361" s="37"/>
      <c r="G361" s="37"/>
      <c r="H361" s="37"/>
      <c r="I361" s="37"/>
      <c r="J361" s="37"/>
      <c r="K361" s="78"/>
      <c r="L361" s="78"/>
      <c r="M361" s="78"/>
      <c r="N361" s="78"/>
      <c r="O361" s="39"/>
      <c r="P361" s="38"/>
      <c r="Q361" s="39"/>
    </row>
    <row r="362" spans="1:18" s="4" customFormat="1" ht="30" customHeight="1" x14ac:dyDescent="0.35">
      <c r="A362" s="33"/>
      <c r="B362" s="33"/>
      <c r="C362" s="33"/>
      <c r="D362" s="36"/>
      <c r="E362" s="40"/>
      <c r="F362" s="40"/>
      <c r="G362" s="41"/>
      <c r="H362" s="40"/>
      <c r="I362" s="41"/>
      <c r="J362" s="41"/>
      <c r="K362" s="79"/>
      <c r="L362" s="79"/>
      <c r="M362" s="79"/>
      <c r="N362" s="79"/>
      <c r="O362" s="39"/>
      <c r="P362" s="39"/>
      <c r="Q362" s="39"/>
    </row>
    <row r="363" spans="1:18" s="4" customFormat="1" ht="30" customHeight="1" x14ac:dyDescent="0.35">
      <c r="A363" s="33"/>
      <c r="B363" s="33"/>
      <c r="C363" s="33"/>
      <c r="D363" s="36"/>
      <c r="E363" s="41"/>
      <c r="F363" s="41"/>
      <c r="G363" s="41"/>
      <c r="H363" s="41"/>
      <c r="I363" s="41"/>
      <c r="J363" s="41"/>
      <c r="K363" s="79"/>
      <c r="L363" s="79"/>
      <c r="M363" s="79"/>
      <c r="N363" s="79"/>
      <c r="O363" s="39"/>
      <c r="P363" s="39"/>
      <c r="Q363" s="39"/>
    </row>
    <row r="364" spans="1:18" s="4" customFormat="1" ht="30" customHeight="1" x14ac:dyDescent="0.35">
      <c r="A364" s="33"/>
      <c r="B364" s="33"/>
      <c r="C364" s="33"/>
      <c r="D364" s="36"/>
      <c r="E364" s="41"/>
      <c r="F364" s="41"/>
      <c r="G364" s="41"/>
      <c r="H364" s="41"/>
      <c r="I364" s="41"/>
      <c r="J364" s="41"/>
      <c r="K364" s="79"/>
      <c r="L364" s="79"/>
      <c r="M364" s="79"/>
      <c r="N364" s="79"/>
      <c r="O364" s="39"/>
      <c r="P364" s="39"/>
      <c r="Q364" s="39"/>
    </row>
    <row r="365" spans="1:18" s="4" customFormat="1" ht="30" customHeight="1" x14ac:dyDescent="0.35">
      <c r="A365" s="33"/>
      <c r="B365" s="33"/>
      <c r="C365" s="33"/>
      <c r="D365" s="36"/>
      <c r="E365" s="41"/>
      <c r="F365" s="41"/>
      <c r="G365" s="41"/>
      <c r="H365" s="41"/>
      <c r="I365" s="41"/>
      <c r="J365" s="41"/>
      <c r="K365" s="79"/>
      <c r="L365" s="79"/>
      <c r="M365" s="79"/>
      <c r="N365" s="79"/>
      <c r="O365" s="39"/>
      <c r="P365" s="39"/>
      <c r="Q365" s="39"/>
    </row>
    <row r="366" spans="1:18" s="4" customFormat="1" ht="30" customHeight="1" x14ac:dyDescent="0.35">
      <c r="A366" s="33"/>
      <c r="B366" s="33"/>
      <c r="C366" s="33"/>
      <c r="D366" s="36"/>
      <c r="E366" s="36"/>
      <c r="F366" s="37"/>
      <c r="G366" s="37"/>
      <c r="H366" s="35"/>
      <c r="I366" s="36"/>
      <c r="J366" s="36"/>
      <c r="K366" s="42"/>
      <c r="L366" s="42"/>
      <c r="M366" s="42"/>
      <c r="N366" s="42"/>
      <c r="O366" s="39"/>
      <c r="P366" s="38"/>
      <c r="Q366" s="38"/>
      <c r="R366" s="5"/>
    </row>
    <row r="367" spans="1:18" s="4" customFormat="1" ht="30" customHeight="1" x14ac:dyDescent="0.35">
      <c r="A367" s="33"/>
      <c r="B367" s="33"/>
      <c r="C367" s="33"/>
      <c r="D367" s="36"/>
      <c r="E367" s="36"/>
      <c r="F367" s="36"/>
      <c r="G367" s="36"/>
      <c r="H367" s="37"/>
      <c r="I367" s="36"/>
      <c r="J367" s="36"/>
      <c r="K367" s="42"/>
      <c r="L367" s="42"/>
      <c r="M367" s="42"/>
      <c r="N367" s="42"/>
      <c r="O367" s="39"/>
      <c r="P367" s="38"/>
      <c r="Q367" s="42"/>
    </row>
    <row r="368" spans="1:18" s="4" customFormat="1" ht="30" customHeight="1" x14ac:dyDescent="0.35">
      <c r="A368" s="33"/>
      <c r="B368" s="33"/>
      <c r="C368" s="33"/>
      <c r="D368" s="36"/>
      <c r="E368" s="36"/>
      <c r="F368" s="36"/>
      <c r="G368" s="36"/>
      <c r="H368" s="37"/>
      <c r="I368" s="36"/>
      <c r="J368" s="36"/>
      <c r="K368" s="42"/>
      <c r="L368" s="42"/>
      <c r="M368" s="42"/>
      <c r="N368" s="42"/>
      <c r="O368" s="39"/>
      <c r="P368" s="38"/>
      <c r="Q368" s="42"/>
    </row>
    <row r="369" spans="1:17" s="4" customFormat="1" ht="30" customHeight="1" x14ac:dyDescent="0.35">
      <c r="A369" s="33"/>
      <c r="B369" s="33"/>
      <c r="C369" s="33"/>
      <c r="D369" s="36"/>
      <c r="E369" s="40"/>
      <c r="F369" s="40"/>
      <c r="G369" s="40"/>
      <c r="H369" s="40"/>
      <c r="I369" s="40"/>
      <c r="J369" s="40"/>
      <c r="K369" s="80"/>
      <c r="L369" s="80"/>
      <c r="M369" s="80"/>
      <c r="N369" s="80"/>
      <c r="O369" s="39"/>
      <c r="P369" s="38"/>
      <c r="Q369" s="38"/>
    </row>
    <row r="370" spans="1:17" s="4" customFormat="1" ht="30" customHeight="1" x14ac:dyDescent="0.35">
      <c r="A370" s="33"/>
      <c r="B370" s="33"/>
      <c r="C370" s="33"/>
      <c r="D370" s="36"/>
      <c r="E370" s="36"/>
      <c r="F370" s="36"/>
      <c r="G370" s="36"/>
      <c r="H370" s="36"/>
      <c r="I370" s="36"/>
      <c r="J370" s="36"/>
      <c r="K370" s="42"/>
      <c r="L370" s="42"/>
      <c r="M370" s="42"/>
      <c r="N370" s="42"/>
      <c r="O370" s="39"/>
      <c r="P370" s="38"/>
      <c r="Q370" s="39"/>
    </row>
    <row r="371" spans="1:17" s="4" customFormat="1" ht="30" customHeight="1" x14ac:dyDescent="0.35">
      <c r="A371" s="33"/>
      <c r="B371" s="33"/>
      <c r="C371" s="33"/>
      <c r="D371" s="36"/>
      <c r="E371" s="36"/>
      <c r="F371" s="36"/>
      <c r="G371" s="36"/>
      <c r="H371" s="36"/>
      <c r="I371" s="36"/>
      <c r="J371" s="36"/>
      <c r="K371" s="42"/>
      <c r="L371" s="42"/>
      <c r="M371" s="42"/>
      <c r="N371" s="42"/>
      <c r="O371" s="39"/>
      <c r="P371" s="38"/>
      <c r="Q371" s="38"/>
    </row>
    <row r="372" spans="1:17" s="4" customFormat="1" ht="30" customHeight="1" x14ac:dyDescent="0.35">
      <c r="A372" s="16"/>
      <c r="B372" s="16"/>
      <c r="C372" s="16"/>
      <c r="D372" s="17"/>
      <c r="E372" s="17"/>
      <c r="F372" s="17"/>
      <c r="G372" s="17"/>
      <c r="H372" s="17"/>
      <c r="I372" s="17"/>
      <c r="J372" s="17"/>
      <c r="K372" s="54"/>
      <c r="L372" s="54"/>
      <c r="M372" s="54"/>
      <c r="N372" s="54"/>
      <c r="O372" s="8"/>
      <c r="P372" s="9"/>
      <c r="Q372" s="8"/>
    </row>
    <row r="373" spans="1:17" s="4" customFormat="1" ht="30" customHeight="1" x14ac:dyDescent="0.35">
      <c r="A373" s="16"/>
      <c r="B373" s="16"/>
      <c r="C373" s="16"/>
      <c r="D373" s="17"/>
      <c r="E373" s="17"/>
      <c r="F373" s="17"/>
      <c r="G373" s="17"/>
      <c r="H373" s="17"/>
      <c r="I373" s="17"/>
      <c r="J373" s="17"/>
      <c r="K373" s="54"/>
      <c r="L373" s="54"/>
      <c r="M373" s="54"/>
      <c r="N373" s="54"/>
      <c r="O373" s="8"/>
      <c r="P373" s="9"/>
      <c r="Q373" s="9"/>
    </row>
    <row r="374" spans="1:17" s="4" customFormat="1" ht="30" customHeight="1" x14ac:dyDescent="0.35">
      <c r="A374" s="16"/>
      <c r="B374" s="16"/>
      <c r="C374" s="16"/>
      <c r="D374" s="17"/>
      <c r="E374" s="17"/>
      <c r="F374" s="17"/>
      <c r="G374" s="17"/>
      <c r="H374" s="17"/>
      <c r="I374" s="17"/>
      <c r="J374" s="17"/>
      <c r="K374" s="54"/>
      <c r="L374" s="54"/>
      <c r="M374" s="54"/>
      <c r="N374" s="54"/>
      <c r="O374" s="8"/>
      <c r="P374" s="9"/>
      <c r="Q374" s="9"/>
    </row>
    <row r="375" spans="1:17" s="4" customFormat="1" ht="30" customHeight="1" x14ac:dyDescent="0.35">
      <c r="A375" s="8"/>
      <c r="B375" s="8"/>
      <c r="C375" s="8"/>
      <c r="D375" s="8"/>
      <c r="E375" s="8"/>
      <c r="F375" s="10"/>
      <c r="G375" s="8"/>
      <c r="H375" s="8"/>
      <c r="I375" s="54"/>
      <c r="J375" s="8"/>
      <c r="K375" s="8"/>
      <c r="L375" s="8"/>
      <c r="M375" s="8"/>
      <c r="N375" s="8"/>
      <c r="O375" s="8"/>
      <c r="P375" s="9"/>
      <c r="Q375" s="9"/>
    </row>
    <row r="376" spans="1:17" s="4" customFormat="1" ht="30" customHeight="1" x14ac:dyDescent="0.35">
      <c r="A376" s="8"/>
      <c r="B376" s="8"/>
      <c r="C376" s="8"/>
      <c r="D376" s="9"/>
      <c r="E376" s="9"/>
      <c r="F376" s="9"/>
      <c r="G376" s="9"/>
      <c r="H376" s="9"/>
      <c r="I376" s="54"/>
      <c r="J376" s="9"/>
      <c r="K376" s="9"/>
      <c r="L376" s="9"/>
      <c r="M376" s="9"/>
      <c r="N376" s="9"/>
      <c r="O376" s="11"/>
      <c r="P376" s="11"/>
      <c r="Q376" s="8"/>
    </row>
    <row r="377" spans="1:17" s="4" customFormat="1" ht="30" customHeight="1" x14ac:dyDescent="0.35">
      <c r="A377" s="8"/>
      <c r="B377" s="8"/>
      <c r="C377" s="8"/>
      <c r="D377" s="12"/>
      <c r="E377" s="11"/>
      <c r="F377" s="11"/>
      <c r="G377" s="11"/>
      <c r="H377" s="11"/>
      <c r="I377" s="54"/>
      <c r="J377" s="11"/>
      <c r="K377" s="11"/>
      <c r="L377" s="11"/>
      <c r="M377" s="11"/>
      <c r="N377" s="11"/>
      <c r="O377" s="11"/>
      <c r="P377" s="11"/>
      <c r="Q377" s="8"/>
    </row>
    <row r="378" spans="1:17" s="4" customFormat="1" ht="30" customHeight="1" x14ac:dyDescent="0.35">
      <c r="A378" s="8"/>
      <c r="B378" s="8"/>
      <c r="C378" s="8"/>
      <c r="D378" s="12"/>
      <c r="E378" s="11"/>
      <c r="F378" s="11"/>
      <c r="G378" s="11"/>
      <c r="H378" s="11"/>
      <c r="I378" s="54"/>
      <c r="J378" s="11"/>
      <c r="K378" s="11"/>
      <c r="L378" s="11"/>
      <c r="M378" s="11"/>
      <c r="N378" s="11"/>
      <c r="O378" s="11"/>
      <c r="P378" s="11"/>
      <c r="Q378" s="8"/>
    </row>
    <row r="379" spans="1:17" s="4" customFormat="1" ht="30" customHeight="1" x14ac:dyDescent="0.35">
      <c r="A379" s="8"/>
      <c r="B379" s="8"/>
      <c r="C379" s="8"/>
      <c r="D379" s="12"/>
      <c r="E379" s="11"/>
      <c r="F379" s="11"/>
      <c r="G379" s="11"/>
      <c r="H379" s="11"/>
      <c r="I379" s="54"/>
      <c r="J379" s="11"/>
      <c r="K379" s="11"/>
      <c r="L379" s="11"/>
      <c r="M379" s="11"/>
      <c r="N379" s="11"/>
      <c r="O379" s="11"/>
      <c r="P379" s="11"/>
      <c r="Q379" s="8"/>
    </row>
    <row r="380" spans="1:17" s="4" customFormat="1" ht="30" customHeight="1" x14ac:dyDescent="0.35">
      <c r="A380" s="8"/>
      <c r="B380" s="8"/>
      <c r="C380" s="8"/>
      <c r="D380" s="12"/>
      <c r="E380" s="11"/>
      <c r="F380" s="11"/>
      <c r="G380" s="11"/>
      <c r="H380" s="11"/>
      <c r="I380" s="54"/>
      <c r="J380" s="11"/>
      <c r="K380" s="11"/>
      <c r="L380" s="11"/>
      <c r="M380" s="11"/>
      <c r="N380" s="11"/>
      <c r="O380" s="11"/>
      <c r="P380" s="11"/>
      <c r="Q380" s="8"/>
    </row>
    <row r="381" spans="1:17" s="3" customFormat="1" ht="30" customHeight="1" x14ac:dyDescent="0.35">
      <c r="A381" s="8"/>
      <c r="B381" s="8"/>
      <c r="C381" s="8"/>
      <c r="D381" s="12"/>
      <c r="E381" s="11"/>
      <c r="F381" s="11"/>
      <c r="G381" s="11"/>
      <c r="H381" s="11"/>
      <c r="I381" s="54"/>
      <c r="J381" s="11"/>
      <c r="K381" s="11"/>
      <c r="L381" s="11"/>
      <c r="M381" s="11"/>
      <c r="N381" s="11"/>
      <c r="O381" s="11"/>
      <c r="P381" s="11"/>
      <c r="Q381" s="8"/>
    </row>
    <row r="382" spans="1:17" s="3" customFormat="1" ht="30" customHeight="1" x14ac:dyDescent="0.35">
      <c r="A382" s="8"/>
      <c r="B382" s="8"/>
      <c r="C382" s="8"/>
      <c r="D382" s="12"/>
      <c r="E382" s="11"/>
      <c r="F382" s="11"/>
      <c r="G382" s="11"/>
      <c r="H382" s="11"/>
      <c r="I382" s="54"/>
      <c r="J382" s="11"/>
      <c r="K382" s="11"/>
      <c r="L382" s="11"/>
      <c r="M382" s="11"/>
      <c r="N382" s="11"/>
      <c r="O382" s="11"/>
      <c r="P382" s="11"/>
      <c r="Q382" s="8"/>
    </row>
    <row r="383" spans="1:17" s="3" customFormat="1" ht="30" customHeight="1" x14ac:dyDescent="0.35">
      <c r="A383" s="8"/>
      <c r="B383" s="8"/>
      <c r="C383" s="8"/>
      <c r="D383" s="8"/>
      <c r="E383" s="11"/>
      <c r="F383" s="11"/>
      <c r="G383" s="11"/>
      <c r="H383" s="11"/>
      <c r="I383" s="54"/>
      <c r="J383" s="11"/>
      <c r="K383" s="11"/>
      <c r="L383" s="11"/>
      <c r="M383" s="11"/>
      <c r="N383" s="11"/>
      <c r="O383" s="11"/>
      <c r="P383" s="11"/>
      <c r="Q383" s="8"/>
    </row>
    <row r="384" spans="1:17" s="3" customFormat="1" ht="30" customHeight="1" x14ac:dyDescent="0.35">
      <c r="A384" s="8"/>
      <c r="B384" s="8"/>
      <c r="C384" s="8"/>
      <c r="D384" s="8"/>
      <c r="E384" s="11"/>
      <c r="F384" s="11"/>
      <c r="G384" s="11"/>
      <c r="H384" s="11"/>
      <c r="I384" s="54"/>
      <c r="J384" s="11"/>
      <c r="K384" s="11"/>
      <c r="L384" s="11"/>
      <c r="M384" s="11"/>
      <c r="N384" s="11"/>
      <c r="O384" s="11"/>
      <c r="P384" s="11"/>
      <c r="Q384" s="8"/>
    </row>
    <row r="385" spans="1:17" s="3" customFormat="1" ht="30" customHeight="1" x14ac:dyDescent="0.35">
      <c r="A385" s="8"/>
      <c r="B385" s="8"/>
      <c r="C385" s="8"/>
      <c r="D385" s="8"/>
      <c r="E385" s="11"/>
      <c r="F385" s="11"/>
      <c r="G385" s="11"/>
      <c r="H385" s="11"/>
      <c r="I385" s="54"/>
      <c r="J385" s="11"/>
      <c r="K385" s="11"/>
      <c r="L385" s="11"/>
      <c r="M385" s="11"/>
      <c r="N385" s="11"/>
      <c r="O385" s="11"/>
      <c r="P385" s="11"/>
      <c r="Q385" s="8"/>
    </row>
    <row r="386" spans="1:17" x14ac:dyDescent="0.25">
      <c r="E386" s="13"/>
      <c r="F386" s="13"/>
      <c r="G386" s="13"/>
      <c r="H386" s="13"/>
      <c r="J386" s="13"/>
      <c r="K386" s="13"/>
      <c r="L386" s="13"/>
      <c r="M386" s="13"/>
      <c r="N386" s="13"/>
      <c r="O386" s="13"/>
      <c r="P386" s="13"/>
    </row>
    <row r="387" spans="1:17" x14ac:dyDescent="0.25">
      <c r="E387" s="13"/>
      <c r="F387" s="13"/>
      <c r="G387" s="13"/>
      <c r="H387" s="13"/>
      <c r="J387" s="13"/>
      <c r="K387" s="13"/>
      <c r="L387" s="13"/>
      <c r="M387" s="13"/>
      <c r="N387" s="13"/>
      <c r="O387" s="13"/>
      <c r="P387" s="13"/>
    </row>
    <row r="388" spans="1:17" x14ac:dyDescent="0.25">
      <c r="E388" s="13"/>
      <c r="F388" s="13"/>
      <c r="G388" s="13"/>
      <c r="H388" s="13"/>
      <c r="J388" s="13"/>
      <c r="K388" s="13"/>
      <c r="L388" s="13"/>
      <c r="M388" s="13"/>
      <c r="N388" s="13"/>
      <c r="O388" s="13"/>
      <c r="P388" s="13"/>
    </row>
    <row r="389" spans="1:17" x14ac:dyDescent="0.25">
      <c r="E389" s="13"/>
      <c r="F389" s="13"/>
      <c r="G389" s="13"/>
      <c r="H389" s="13"/>
      <c r="J389" s="13"/>
      <c r="K389" s="13"/>
      <c r="L389" s="13"/>
      <c r="M389" s="13"/>
      <c r="N389" s="13"/>
      <c r="O389" s="13"/>
      <c r="P389" s="13"/>
    </row>
    <row r="390" spans="1:17" x14ac:dyDescent="0.25">
      <c r="E390" s="13"/>
      <c r="F390" s="13"/>
      <c r="G390" s="13"/>
      <c r="H390" s="13"/>
      <c r="J390" s="13"/>
      <c r="K390" s="13"/>
      <c r="L390" s="13"/>
      <c r="M390" s="13"/>
      <c r="N390" s="13"/>
      <c r="O390" s="13"/>
      <c r="P390" s="13"/>
    </row>
    <row r="391" spans="1:17" x14ac:dyDescent="0.25">
      <c r="E391" s="13"/>
      <c r="F391" s="13"/>
      <c r="G391" s="13"/>
      <c r="H391" s="13"/>
      <c r="J391" s="13"/>
      <c r="K391" s="13"/>
      <c r="L391" s="13"/>
      <c r="M391" s="13"/>
      <c r="N391" s="13"/>
      <c r="O391" s="13"/>
      <c r="P391" s="13"/>
    </row>
    <row r="392" spans="1:17" x14ac:dyDescent="0.25">
      <c r="E392" s="13"/>
      <c r="F392" s="13"/>
      <c r="G392" s="13"/>
      <c r="H392" s="13"/>
      <c r="J392" s="13"/>
      <c r="K392" s="13"/>
      <c r="L392" s="13"/>
      <c r="M392" s="13"/>
      <c r="N392" s="13"/>
      <c r="O392" s="13"/>
      <c r="P392" s="13"/>
    </row>
    <row r="393" spans="1:17" x14ac:dyDescent="0.25">
      <c r="E393" s="13"/>
      <c r="F393" s="13"/>
      <c r="G393" s="13"/>
      <c r="H393" s="13"/>
      <c r="J393" s="13"/>
      <c r="K393" s="13"/>
      <c r="L393" s="13"/>
      <c r="M393" s="13"/>
      <c r="N393" s="13"/>
      <c r="O393" s="13"/>
      <c r="P393" s="13"/>
    </row>
    <row r="394" spans="1:17" x14ac:dyDescent="0.25">
      <c r="E394" s="13"/>
      <c r="F394" s="13"/>
      <c r="G394" s="13"/>
      <c r="H394" s="13"/>
      <c r="J394" s="13"/>
      <c r="K394" s="13"/>
      <c r="L394" s="13"/>
      <c r="M394" s="13"/>
      <c r="N394" s="13"/>
      <c r="O394" s="13"/>
      <c r="P394" s="13"/>
    </row>
    <row r="395" spans="1:17" x14ac:dyDescent="0.25">
      <c r="E395" s="13"/>
      <c r="F395" s="13"/>
      <c r="G395" s="13"/>
      <c r="H395" s="13"/>
      <c r="J395" s="13"/>
      <c r="K395" s="13"/>
      <c r="L395" s="13"/>
      <c r="M395" s="13"/>
      <c r="N395" s="13"/>
      <c r="O395" s="13"/>
      <c r="P395" s="13"/>
    </row>
    <row r="396" spans="1:17" x14ac:dyDescent="0.25">
      <c r="E396" s="13"/>
      <c r="F396" s="13"/>
      <c r="G396" s="13"/>
      <c r="H396" s="13"/>
      <c r="J396" s="13"/>
      <c r="K396" s="13"/>
      <c r="L396" s="13"/>
      <c r="M396" s="13"/>
      <c r="N396" s="13"/>
      <c r="O396" s="13"/>
      <c r="P396" s="13"/>
    </row>
    <row r="397" spans="1:17" x14ac:dyDescent="0.25">
      <c r="E397" s="13"/>
      <c r="F397" s="13"/>
      <c r="G397" s="13"/>
      <c r="H397" s="13"/>
      <c r="J397" s="13"/>
      <c r="K397" s="13"/>
      <c r="L397" s="13"/>
      <c r="M397" s="13"/>
      <c r="N397" s="13"/>
      <c r="O397" s="13"/>
      <c r="P397" s="13"/>
    </row>
    <row r="398" spans="1:17" x14ac:dyDescent="0.25">
      <c r="E398" s="13"/>
      <c r="F398" s="13"/>
      <c r="G398" s="13"/>
      <c r="H398" s="13"/>
      <c r="J398" s="13"/>
      <c r="K398" s="13"/>
      <c r="L398" s="13"/>
      <c r="M398" s="13"/>
      <c r="N398" s="13"/>
      <c r="O398" s="13"/>
      <c r="P398" s="13"/>
    </row>
    <row r="399" spans="1:17" x14ac:dyDescent="0.25">
      <c r="E399" s="13"/>
      <c r="F399" s="13"/>
      <c r="G399" s="13"/>
      <c r="H399" s="13"/>
      <c r="J399" s="13"/>
      <c r="K399" s="13"/>
      <c r="L399" s="13"/>
      <c r="M399" s="13"/>
      <c r="N399" s="13"/>
      <c r="O399" s="13"/>
      <c r="P399" s="13"/>
    </row>
    <row r="400" spans="1:17" x14ac:dyDescent="0.25">
      <c r="E400" s="13"/>
      <c r="F400" s="13"/>
      <c r="G400" s="13"/>
      <c r="H400" s="13"/>
      <c r="J400" s="13"/>
      <c r="K400" s="13"/>
      <c r="L400" s="13"/>
      <c r="M400" s="13"/>
      <c r="N400" s="13"/>
      <c r="O400" s="13"/>
      <c r="P400" s="13"/>
    </row>
    <row r="401" spans="5:16" x14ac:dyDescent="0.25">
      <c r="E401" s="13"/>
      <c r="F401" s="13"/>
      <c r="G401" s="13"/>
      <c r="H401" s="13"/>
      <c r="J401" s="13"/>
      <c r="K401" s="13"/>
      <c r="L401" s="13"/>
      <c r="M401" s="13"/>
      <c r="N401" s="13"/>
      <c r="O401" s="13"/>
      <c r="P401" s="13"/>
    </row>
    <row r="402" spans="5:16" x14ac:dyDescent="0.25">
      <c r="E402" s="13"/>
      <c r="F402" s="13"/>
      <c r="G402" s="13"/>
      <c r="H402" s="13"/>
      <c r="J402" s="13"/>
      <c r="K402" s="13"/>
      <c r="L402" s="13"/>
      <c r="M402" s="13"/>
      <c r="N402" s="13"/>
      <c r="O402" s="13"/>
      <c r="P402" s="13"/>
    </row>
    <row r="403" spans="5:16" x14ac:dyDescent="0.25">
      <c r="E403" s="13"/>
      <c r="F403" s="13"/>
      <c r="G403" s="13"/>
      <c r="H403" s="13"/>
      <c r="J403" s="13"/>
      <c r="K403" s="13"/>
      <c r="L403" s="13"/>
      <c r="M403" s="13"/>
      <c r="N403" s="13"/>
      <c r="O403" s="13"/>
      <c r="P403" s="13"/>
    </row>
    <row r="404" spans="5:16" x14ac:dyDescent="0.25">
      <c r="E404" s="13"/>
      <c r="F404" s="13"/>
      <c r="G404" s="13"/>
      <c r="H404" s="13"/>
      <c r="J404" s="13"/>
      <c r="K404" s="13"/>
      <c r="L404" s="13"/>
      <c r="M404" s="13"/>
      <c r="N404" s="13"/>
      <c r="O404" s="13"/>
      <c r="P404" s="13"/>
    </row>
    <row r="405" spans="5:16" x14ac:dyDescent="0.25">
      <c r="E405" s="13"/>
      <c r="F405" s="13"/>
      <c r="G405" s="13"/>
      <c r="H405" s="13"/>
      <c r="J405" s="13"/>
      <c r="K405" s="13"/>
      <c r="L405" s="13"/>
      <c r="M405" s="13"/>
      <c r="N405" s="13"/>
      <c r="O405" s="13"/>
      <c r="P405" s="13"/>
    </row>
    <row r="406" spans="5:16" x14ac:dyDescent="0.25">
      <c r="E406" s="13"/>
      <c r="F406" s="13"/>
      <c r="G406" s="13"/>
      <c r="H406" s="13"/>
      <c r="J406" s="13"/>
      <c r="K406" s="13"/>
      <c r="L406" s="13"/>
      <c r="M406" s="13"/>
      <c r="N406" s="13"/>
      <c r="O406" s="13"/>
      <c r="P406" s="13"/>
    </row>
    <row r="407" spans="5:16" x14ac:dyDescent="0.25">
      <c r="E407" s="13"/>
      <c r="F407" s="13"/>
      <c r="G407" s="13"/>
      <c r="H407" s="13"/>
      <c r="J407" s="13"/>
      <c r="K407" s="13"/>
      <c r="L407" s="13"/>
      <c r="M407" s="13"/>
      <c r="N407" s="13"/>
      <c r="O407" s="13"/>
      <c r="P407" s="13"/>
    </row>
    <row r="408" spans="5:16" x14ac:dyDescent="0.25">
      <c r="E408" s="13"/>
      <c r="F408" s="13"/>
      <c r="G408" s="13"/>
      <c r="H408" s="13"/>
      <c r="J408" s="13"/>
      <c r="K408" s="13"/>
      <c r="L408" s="13"/>
      <c r="M408" s="13"/>
      <c r="N408" s="13"/>
      <c r="O408" s="13"/>
      <c r="P408" s="13"/>
    </row>
    <row r="409" spans="5:16" x14ac:dyDescent="0.25">
      <c r="E409" s="13"/>
      <c r="F409" s="13"/>
      <c r="G409" s="13"/>
      <c r="H409" s="13"/>
      <c r="J409" s="13"/>
      <c r="K409" s="13"/>
      <c r="L409" s="13"/>
      <c r="M409" s="13"/>
      <c r="N409" s="13"/>
      <c r="O409" s="13"/>
      <c r="P409" s="13"/>
    </row>
    <row r="420" spans="4:4" x14ac:dyDescent="0.25">
      <c r="D420" s="19">
        <f>D37+D40+D44+D50+D112+D115+D122+D128+D131</f>
        <v>577370.72596999991</v>
      </c>
    </row>
  </sheetData>
  <autoFilter ref="A12:Q170" xr:uid="{00000000-0009-0000-0000-000000000000}">
    <filterColumn colId="4" showButton="0"/>
    <filterColumn colId="5" showButton="0"/>
    <filterColumn colId="6" showButton="0"/>
    <filterColumn colId="7" showButton="0"/>
    <filterColumn colId="8" showButton="0"/>
  </autoFilter>
  <mergeCells count="580">
    <mergeCell ref="Q237:Q238"/>
    <mergeCell ref="P237:P238"/>
    <mergeCell ref="B229:B234"/>
    <mergeCell ref="D237:D238"/>
    <mergeCell ref="G235:G236"/>
    <mergeCell ref="J237:J238"/>
    <mergeCell ref="K237:K238"/>
    <mergeCell ref="A183:B183"/>
    <mergeCell ref="Q203:Q204"/>
    <mergeCell ref="Q201:Q202"/>
    <mergeCell ref="C201:C202"/>
    <mergeCell ref="A184:C184"/>
    <mergeCell ref="A200:Q200"/>
    <mergeCell ref="P235:P236"/>
    <mergeCell ref="O235:O236"/>
    <mergeCell ref="K235:K236"/>
    <mergeCell ref="L235:L236"/>
    <mergeCell ref="L237:L238"/>
    <mergeCell ref="B212:B215"/>
    <mergeCell ref="B235:B236"/>
    <mergeCell ref="A229:A234"/>
    <mergeCell ref="Q163:Q166"/>
    <mergeCell ref="J252:J253"/>
    <mergeCell ref="B259:B260"/>
    <mergeCell ref="A259:A260"/>
    <mergeCell ref="I264:I265"/>
    <mergeCell ref="J262:J263"/>
    <mergeCell ref="B252:B253"/>
    <mergeCell ref="C257:C258"/>
    <mergeCell ref="C252:C253"/>
    <mergeCell ref="D252:D253"/>
    <mergeCell ref="A255:C255"/>
    <mergeCell ref="A257:A258"/>
    <mergeCell ref="F252:F253"/>
    <mergeCell ref="I163:I164"/>
    <mergeCell ref="H224:H226"/>
    <mergeCell ref="D235:D236"/>
    <mergeCell ref="D229:D231"/>
    <mergeCell ref="N229:N231"/>
    <mergeCell ref="Q232:Q234"/>
    <mergeCell ref="O224:O226"/>
    <mergeCell ref="O233:O234"/>
    <mergeCell ref="J235:J236"/>
    <mergeCell ref="C229:C232"/>
    <mergeCell ref="Q244:Q245"/>
    <mergeCell ref="O161:O162"/>
    <mergeCell ref="J165:J166"/>
    <mergeCell ref="I165:I166"/>
    <mergeCell ref="K165:K166"/>
    <mergeCell ref="M165:M166"/>
    <mergeCell ref="L165:L166"/>
    <mergeCell ref="O165:O166"/>
    <mergeCell ref="O163:O164"/>
    <mergeCell ref="M163:M164"/>
    <mergeCell ref="N163:N164"/>
    <mergeCell ref="M161:M162"/>
    <mergeCell ref="N161:N162"/>
    <mergeCell ref="Q37:Q39"/>
    <mergeCell ref="A40:A42"/>
    <mergeCell ref="B40:B42"/>
    <mergeCell ref="A37:A39"/>
    <mergeCell ref="B37:B39"/>
    <mergeCell ref="B44:B49"/>
    <mergeCell ref="O40:O41"/>
    <mergeCell ref="P40:P42"/>
    <mergeCell ref="P112:P114"/>
    <mergeCell ref="Q112:Q114"/>
    <mergeCell ref="Q88:Q90"/>
    <mergeCell ref="O50:O51"/>
    <mergeCell ref="B67:B68"/>
    <mergeCell ref="B74:B75"/>
    <mergeCell ref="B76:B77"/>
    <mergeCell ref="A67:A68"/>
    <mergeCell ref="A74:A75"/>
    <mergeCell ref="A76:A77"/>
    <mergeCell ref="A88:A93"/>
    <mergeCell ref="Q67:Q68"/>
    <mergeCell ref="P109:P110"/>
    <mergeCell ref="Q105:Q106"/>
    <mergeCell ref="Q94:Q95"/>
    <mergeCell ref="B88:B93"/>
    <mergeCell ref="B79:B81"/>
    <mergeCell ref="A79:A81"/>
    <mergeCell ref="A44:A49"/>
    <mergeCell ref="C67:C68"/>
    <mergeCell ref="B50:B53"/>
    <mergeCell ref="A50:A53"/>
    <mergeCell ref="A54:A65"/>
    <mergeCell ref="A72:A73"/>
    <mergeCell ref="B72:B73"/>
    <mergeCell ref="P8:Q8"/>
    <mergeCell ref="C105:C106"/>
    <mergeCell ref="P122:P125"/>
    <mergeCell ref="B118:B121"/>
    <mergeCell ref="P118:P119"/>
    <mergeCell ref="B59:B60"/>
    <mergeCell ref="H18:H21"/>
    <mergeCell ref="P138:P139"/>
    <mergeCell ref="B224:B227"/>
    <mergeCell ref="P145:P147"/>
    <mergeCell ref="A179:Q179"/>
    <mergeCell ref="O180:O181"/>
    <mergeCell ref="A178:B178"/>
    <mergeCell ref="B167:B169"/>
    <mergeCell ref="B201:B202"/>
    <mergeCell ref="B208:B211"/>
    <mergeCell ref="E165:E166"/>
    <mergeCell ref="F165:F166"/>
    <mergeCell ref="G165:G166"/>
    <mergeCell ref="H165:H166"/>
    <mergeCell ref="A199:Q199"/>
    <mergeCell ref="A30:A34"/>
    <mergeCell ref="Q30:Q34"/>
    <mergeCell ref="Q44:Q46"/>
    <mergeCell ref="A353:C353"/>
    <mergeCell ref="Q281:Q282"/>
    <mergeCell ref="A286:A287"/>
    <mergeCell ref="B286:B287"/>
    <mergeCell ref="C286:C287"/>
    <mergeCell ref="G281:G282"/>
    <mergeCell ref="D281:D282"/>
    <mergeCell ref="E281:E282"/>
    <mergeCell ref="F281:F282"/>
    <mergeCell ref="J281:J282"/>
    <mergeCell ref="A288:C288"/>
    <mergeCell ref="H281:H282"/>
    <mergeCell ref="I281:I282"/>
    <mergeCell ref="O281:O282"/>
    <mergeCell ref="A284:A285"/>
    <mergeCell ref="B284:B285"/>
    <mergeCell ref="C284:C285"/>
    <mergeCell ref="A289:Q289"/>
    <mergeCell ref="A290:A293"/>
    <mergeCell ref="A352:C352"/>
    <mergeCell ref="A306:A309"/>
    <mergeCell ref="O290:O293"/>
    <mergeCell ref="Q302:Q305"/>
    <mergeCell ref="P290:P293"/>
    <mergeCell ref="P18:P21"/>
    <mergeCell ref="K18:K21"/>
    <mergeCell ref="L18:L21"/>
    <mergeCell ref="O18:O21"/>
    <mergeCell ref="F18:F21"/>
    <mergeCell ref="J18:J21"/>
    <mergeCell ref="N18:N21"/>
    <mergeCell ref="M264:M265"/>
    <mergeCell ref="N264:N265"/>
    <mergeCell ref="N252:N253"/>
    <mergeCell ref="G252:G253"/>
    <mergeCell ref="P30:P34"/>
    <mergeCell ref="O30:O34"/>
    <mergeCell ref="O37:O38"/>
    <mergeCell ref="K115:K116"/>
    <mergeCell ref="L115:L116"/>
    <mergeCell ref="P78:P81"/>
    <mergeCell ref="F239:F240"/>
    <mergeCell ref="O239:O240"/>
    <mergeCell ref="P239:P240"/>
    <mergeCell ref="F237:F238"/>
    <mergeCell ref="O237:O238"/>
    <mergeCell ref="P115:P116"/>
    <mergeCell ref="O229:O231"/>
    <mergeCell ref="B18:B21"/>
    <mergeCell ref="M18:M21"/>
    <mergeCell ref="E18:E21"/>
    <mergeCell ref="H235:H236"/>
    <mergeCell ref="F235:F236"/>
    <mergeCell ref="G161:G162"/>
    <mergeCell ref="E235:E236"/>
    <mergeCell ref="D224:D226"/>
    <mergeCell ref="I224:I226"/>
    <mergeCell ref="C94:C95"/>
    <mergeCell ref="A143:C143"/>
    <mergeCell ref="B122:B126"/>
    <mergeCell ref="A128:A130"/>
    <mergeCell ref="B128:B130"/>
    <mergeCell ref="A131:A133"/>
    <mergeCell ref="B131:B133"/>
    <mergeCell ref="C18:C21"/>
    <mergeCell ref="I18:I21"/>
    <mergeCell ref="G18:G21"/>
    <mergeCell ref="A35:B35"/>
    <mergeCell ref="B30:B34"/>
    <mergeCell ref="A112:A117"/>
    <mergeCell ref="J224:J226"/>
    <mergeCell ref="I229:I231"/>
    <mergeCell ref="P2:Q7"/>
    <mergeCell ref="B62:B63"/>
    <mergeCell ref="A9:Q9"/>
    <mergeCell ref="A10:Q10"/>
    <mergeCell ref="A12:A13"/>
    <mergeCell ref="Q12:Q13"/>
    <mergeCell ref="C12:C13"/>
    <mergeCell ref="Q40:Q42"/>
    <mergeCell ref="P50:P52"/>
    <mergeCell ref="Q50:Q52"/>
    <mergeCell ref="E12:J12"/>
    <mergeCell ref="P45:P46"/>
    <mergeCell ref="P37:P39"/>
    <mergeCell ref="A36:Q36"/>
    <mergeCell ref="O12:O13"/>
    <mergeCell ref="D18:D21"/>
    <mergeCell ref="A16:Q16"/>
    <mergeCell ref="B12:B13"/>
    <mergeCell ref="P12:P13"/>
    <mergeCell ref="Q18:Q21"/>
    <mergeCell ref="A15:Q15"/>
    <mergeCell ref="D12:D13"/>
    <mergeCell ref="B55:B56"/>
    <mergeCell ref="A18:A21"/>
    <mergeCell ref="K250:K251"/>
    <mergeCell ref="L250:L251"/>
    <mergeCell ref="C235:C236"/>
    <mergeCell ref="K248:K249"/>
    <mergeCell ref="L248:L249"/>
    <mergeCell ref="P241:P242"/>
    <mergeCell ref="M237:M238"/>
    <mergeCell ref="N237:N238"/>
    <mergeCell ref="N239:N240"/>
    <mergeCell ref="M235:M236"/>
    <mergeCell ref="M250:M251"/>
    <mergeCell ref="C237:C238"/>
    <mergeCell ref="G239:G240"/>
    <mergeCell ref="J248:J249"/>
    <mergeCell ref="K239:K240"/>
    <mergeCell ref="L239:L240"/>
    <mergeCell ref="H239:H240"/>
    <mergeCell ref="M239:M240"/>
    <mergeCell ref="I239:I240"/>
    <mergeCell ref="L276:L277"/>
    <mergeCell ref="H276:H277"/>
    <mergeCell ref="O122:O125"/>
    <mergeCell ref="Q131:Q133"/>
    <mergeCell ref="P131:P133"/>
    <mergeCell ref="O156:O159"/>
    <mergeCell ref="B156:B159"/>
    <mergeCell ref="Q122:Q125"/>
    <mergeCell ref="Q250:Q251"/>
    <mergeCell ref="O248:O249"/>
    <mergeCell ref="O250:O251"/>
    <mergeCell ref="Q241:Q242"/>
    <mergeCell ref="H248:H249"/>
    <mergeCell ref="N248:N249"/>
    <mergeCell ref="C212:C215"/>
    <mergeCell ref="G224:G226"/>
    <mergeCell ref="B175:B177"/>
    <mergeCell ref="B203:B204"/>
    <mergeCell ref="C203:C204"/>
    <mergeCell ref="C138:C139"/>
    <mergeCell ref="P229:P231"/>
    <mergeCell ref="P224:P226"/>
    <mergeCell ref="J229:J231"/>
    <mergeCell ref="I235:I236"/>
    <mergeCell ref="P252:P253"/>
    <mergeCell ref="P248:P249"/>
    <mergeCell ref="O252:O253"/>
    <mergeCell ref="O262:O263"/>
    <mergeCell ref="F264:F265"/>
    <mergeCell ref="C271:C273"/>
    <mergeCell ref="D271:D273"/>
    <mergeCell ref="A269:Q269"/>
    <mergeCell ref="D262:D263"/>
    <mergeCell ref="E262:E263"/>
    <mergeCell ref="Q264:Q265"/>
    <mergeCell ref="Q266:Q267"/>
    <mergeCell ref="Q262:Q263"/>
    <mergeCell ref="Q252:Q253"/>
    <mergeCell ref="I252:I253"/>
    <mergeCell ref="Q248:Q249"/>
    <mergeCell ref="A264:A265"/>
    <mergeCell ref="B264:B265"/>
    <mergeCell ref="J264:J265"/>
    <mergeCell ref="H264:H265"/>
    <mergeCell ref="E264:E265"/>
    <mergeCell ref="B257:B258"/>
    <mergeCell ref="M252:M253"/>
    <mergeCell ref="M248:M249"/>
    <mergeCell ref="Q290:Q293"/>
    <mergeCell ref="B294:B297"/>
    <mergeCell ref="P294:P297"/>
    <mergeCell ref="Q294:Q297"/>
    <mergeCell ref="O294:O297"/>
    <mergeCell ref="B306:B309"/>
    <mergeCell ref="P306:P309"/>
    <mergeCell ref="Q298:Q301"/>
    <mergeCell ref="O298:O301"/>
    <mergeCell ref="P298:P301"/>
    <mergeCell ref="O306:O309"/>
    <mergeCell ref="B302:B305"/>
    <mergeCell ref="B298:B301"/>
    <mergeCell ref="B290:B293"/>
    <mergeCell ref="O302:O305"/>
    <mergeCell ref="P302:P305"/>
    <mergeCell ref="O327:O330"/>
    <mergeCell ref="P327:P330"/>
    <mergeCell ref="Q327:Q330"/>
    <mergeCell ref="Q322:Q325"/>
    <mergeCell ref="A314:A317"/>
    <mergeCell ref="B314:B317"/>
    <mergeCell ref="O314:O317"/>
    <mergeCell ref="P314:P317"/>
    <mergeCell ref="Q314:Q317"/>
    <mergeCell ref="A318:A321"/>
    <mergeCell ref="B318:B321"/>
    <mergeCell ref="O318:O321"/>
    <mergeCell ref="P318:P321"/>
    <mergeCell ref="Q318:Q321"/>
    <mergeCell ref="B322:B325"/>
    <mergeCell ref="O322:O325"/>
    <mergeCell ref="P322:P325"/>
    <mergeCell ref="A322:A325"/>
    <mergeCell ref="P281:P283"/>
    <mergeCell ref="P250:P251"/>
    <mergeCell ref="G250:G251"/>
    <mergeCell ref="O271:O273"/>
    <mergeCell ref="K264:K265"/>
    <mergeCell ref="O264:O265"/>
    <mergeCell ref="I262:I263"/>
    <mergeCell ref="L264:L265"/>
    <mergeCell ref="G271:G273"/>
    <mergeCell ref="G264:G265"/>
    <mergeCell ref="G262:G263"/>
    <mergeCell ref="N276:N277"/>
    <mergeCell ref="N271:N273"/>
    <mergeCell ref="M271:M273"/>
    <mergeCell ref="P262:P263"/>
    <mergeCell ref="P264:P265"/>
    <mergeCell ref="I271:I273"/>
    <mergeCell ref="H271:H273"/>
    <mergeCell ref="P271:P273"/>
    <mergeCell ref="K271:K273"/>
    <mergeCell ref="L271:L273"/>
    <mergeCell ref="N250:N251"/>
    <mergeCell ref="P276:P277"/>
    <mergeCell ref="O276:O277"/>
    <mergeCell ref="M115:M116"/>
    <mergeCell ref="N115:N116"/>
    <mergeCell ref="B112:B117"/>
    <mergeCell ref="O112:O114"/>
    <mergeCell ref="O115:O116"/>
    <mergeCell ref="O109:O110"/>
    <mergeCell ref="J109:J110"/>
    <mergeCell ref="G109:G110"/>
    <mergeCell ref="J115:J116"/>
    <mergeCell ref="C109:C110"/>
    <mergeCell ref="H109:H110"/>
    <mergeCell ref="I109:I110"/>
    <mergeCell ref="O131:O133"/>
    <mergeCell ref="P156:P159"/>
    <mergeCell ref="A155:Q155"/>
    <mergeCell ref="A154:B154"/>
    <mergeCell ref="A144:Q144"/>
    <mergeCell ref="A149:A150"/>
    <mergeCell ref="A138:A139"/>
    <mergeCell ref="E118:E119"/>
    <mergeCell ref="D118:D119"/>
    <mergeCell ref="H118:H119"/>
    <mergeCell ref="B149:B150"/>
    <mergeCell ref="C146:C147"/>
    <mergeCell ref="A156:A159"/>
    <mergeCell ref="Q156:Q159"/>
    <mergeCell ref="A122:A127"/>
    <mergeCell ref="L118:L119"/>
    <mergeCell ref="Q118:Q119"/>
    <mergeCell ref="C118:C119"/>
    <mergeCell ref="A118:A121"/>
    <mergeCell ref="A141:A142"/>
    <mergeCell ref="B141:B142"/>
    <mergeCell ref="O141:O142"/>
    <mergeCell ref="P141:P142"/>
    <mergeCell ref="Q141:Q142"/>
    <mergeCell ref="A175:A177"/>
    <mergeCell ref="Q167:Q169"/>
    <mergeCell ref="P175:P176"/>
    <mergeCell ref="Q213:Q215"/>
    <mergeCell ref="B180:B181"/>
    <mergeCell ref="C205:C211"/>
    <mergeCell ref="P207:P208"/>
    <mergeCell ref="A180:A181"/>
    <mergeCell ref="Q173:Q174"/>
    <mergeCell ref="O167:O169"/>
    <mergeCell ref="P173:P174"/>
    <mergeCell ref="P168:P169"/>
    <mergeCell ref="O173:O174"/>
    <mergeCell ref="A167:A169"/>
    <mergeCell ref="A173:A174"/>
    <mergeCell ref="C180:C181"/>
    <mergeCell ref="Q175:Q176"/>
    <mergeCell ref="Q180:Q181"/>
    <mergeCell ref="Q161:Q162"/>
    <mergeCell ref="O118:O119"/>
    <mergeCell ref="G118:G119"/>
    <mergeCell ref="K118:K119"/>
    <mergeCell ref="J118:J119"/>
    <mergeCell ref="M118:M119"/>
    <mergeCell ref="N118:N119"/>
    <mergeCell ref="P232:P234"/>
    <mergeCell ref="B205:B207"/>
    <mergeCell ref="B173:B174"/>
    <mergeCell ref="H229:H231"/>
    <mergeCell ref="F224:F226"/>
    <mergeCell ref="A223:Q223"/>
    <mergeCell ref="C224:C226"/>
    <mergeCell ref="I118:I119"/>
    <mergeCell ref="F118:F119"/>
    <mergeCell ref="A224:A228"/>
    <mergeCell ref="K224:K226"/>
    <mergeCell ref="M224:M226"/>
    <mergeCell ref="E229:E231"/>
    <mergeCell ref="F229:F231"/>
    <mergeCell ref="A201:A202"/>
    <mergeCell ref="A205:A211"/>
    <mergeCell ref="A212:A215"/>
    <mergeCell ref="A161:A166"/>
    <mergeCell ref="B161:B166"/>
    <mergeCell ref="D163:D164"/>
    <mergeCell ref="N165:N166"/>
    <mergeCell ref="D165:D166"/>
    <mergeCell ref="D161:D162"/>
    <mergeCell ref="I161:I162"/>
    <mergeCell ref="F161:F162"/>
    <mergeCell ref="C161:C166"/>
    <mergeCell ref="E161:E162"/>
    <mergeCell ref="J161:J162"/>
    <mergeCell ref="H161:H162"/>
    <mergeCell ref="K161:K162"/>
    <mergeCell ref="H163:H164"/>
    <mergeCell ref="G163:G164"/>
    <mergeCell ref="F163:F164"/>
    <mergeCell ref="E163:E164"/>
    <mergeCell ref="L161:L162"/>
    <mergeCell ref="K163:K164"/>
    <mergeCell ref="L163:L164"/>
    <mergeCell ref="J163:J164"/>
    <mergeCell ref="A109:A110"/>
    <mergeCell ref="F109:F110"/>
    <mergeCell ref="Q109:Q110"/>
    <mergeCell ref="C88:C93"/>
    <mergeCell ref="Q107:Q108"/>
    <mergeCell ref="A101:A104"/>
    <mergeCell ref="A94:A95"/>
    <mergeCell ref="B94:B95"/>
    <mergeCell ref="B107:B108"/>
    <mergeCell ref="C107:C108"/>
    <mergeCell ref="Q101:Q102"/>
    <mergeCell ref="B105:B106"/>
    <mergeCell ref="A105:A106"/>
    <mergeCell ref="B101:B102"/>
    <mergeCell ref="C101:C102"/>
    <mergeCell ref="C96:C100"/>
    <mergeCell ref="A107:A108"/>
    <mergeCell ref="D109:D110"/>
    <mergeCell ref="E109:E110"/>
    <mergeCell ref="B109:B110"/>
    <mergeCell ref="A96:A100"/>
    <mergeCell ref="B96:B100"/>
    <mergeCell ref="B331:B334"/>
    <mergeCell ref="Q115:Q116"/>
    <mergeCell ref="A203:A204"/>
    <mergeCell ref="M276:M277"/>
    <mergeCell ref="J239:J240"/>
    <mergeCell ref="K229:K231"/>
    <mergeCell ref="L229:L231"/>
    <mergeCell ref="I237:I238"/>
    <mergeCell ref="H262:H263"/>
    <mergeCell ref="H252:H253"/>
    <mergeCell ref="A248:A249"/>
    <mergeCell ref="A252:A253"/>
    <mergeCell ref="C250:C251"/>
    <mergeCell ref="C246:C247"/>
    <mergeCell ref="H237:H238"/>
    <mergeCell ref="D239:D240"/>
    <mergeCell ref="C248:C249"/>
    <mergeCell ref="F248:F249"/>
    <mergeCell ref="G248:G249"/>
    <mergeCell ref="B246:B247"/>
    <mergeCell ref="A266:A267"/>
    <mergeCell ref="B266:B267"/>
    <mergeCell ref="J271:J273"/>
    <mergeCell ref="A262:A263"/>
    <mergeCell ref="B280:B283"/>
    <mergeCell ref="A280:A283"/>
    <mergeCell ref="C280:C283"/>
    <mergeCell ref="B327:B330"/>
    <mergeCell ref="B239:B241"/>
    <mergeCell ref="A302:A305"/>
    <mergeCell ref="A294:A297"/>
    <mergeCell ref="A298:A301"/>
    <mergeCell ref="A274:A275"/>
    <mergeCell ref="B274:B275"/>
    <mergeCell ref="C274:C275"/>
    <mergeCell ref="A268:C268"/>
    <mergeCell ref="A271:A273"/>
    <mergeCell ref="B271:B273"/>
    <mergeCell ref="A310:A313"/>
    <mergeCell ref="B310:B313"/>
    <mergeCell ref="C239:C242"/>
    <mergeCell ref="B262:B263"/>
    <mergeCell ref="B250:B251"/>
    <mergeCell ref="A246:A247"/>
    <mergeCell ref="A276:A279"/>
    <mergeCell ref="C266:C267"/>
    <mergeCell ref="C264:C265"/>
    <mergeCell ref="A250:A251"/>
    <mergeCell ref="B248:B249"/>
    <mergeCell ref="D248:D249"/>
    <mergeCell ref="F262:F263"/>
    <mergeCell ref="D264:D265"/>
    <mergeCell ref="C262:C263"/>
    <mergeCell ref="D276:D277"/>
    <mergeCell ref="I250:I251"/>
    <mergeCell ref="J250:J251"/>
    <mergeCell ref="H250:H251"/>
    <mergeCell ref="I248:I249"/>
    <mergeCell ref="C276:C279"/>
    <mergeCell ref="G276:G277"/>
    <mergeCell ref="K276:K277"/>
    <mergeCell ref="E224:E226"/>
    <mergeCell ref="G229:G231"/>
    <mergeCell ref="A331:A334"/>
    <mergeCell ref="O347:O350"/>
    <mergeCell ref="P347:P350"/>
    <mergeCell ref="I276:I277"/>
    <mergeCell ref="J276:J277"/>
    <mergeCell ref="F250:F251"/>
    <mergeCell ref="A237:A238"/>
    <mergeCell ref="P244:P245"/>
    <mergeCell ref="A239:A243"/>
    <mergeCell ref="E252:E253"/>
    <mergeCell ref="E250:E251"/>
    <mergeCell ref="M229:M231"/>
    <mergeCell ref="A235:A236"/>
    <mergeCell ref="L252:L253"/>
    <mergeCell ref="G237:G238"/>
    <mergeCell ref="K252:K253"/>
    <mergeCell ref="B276:B278"/>
    <mergeCell ref="D250:D251"/>
    <mergeCell ref="E248:E249"/>
    <mergeCell ref="E239:E240"/>
    <mergeCell ref="E237:E238"/>
    <mergeCell ref="Q347:Q350"/>
    <mergeCell ref="A347:A350"/>
    <mergeCell ref="B347:B350"/>
    <mergeCell ref="O343:O346"/>
    <mergeCell ref="P343:P346"/>
    <mergeCell ref="Q343:Q346"/>
    <mergeCell ref="O335:O338"/>
    <mergeCell ref="P335:P338"/>
    <mergeCell ref="Q335:Q338"/>
    <mergeCell ref="O339:O342"/>
    <mergeCell ref="P339:P342"/>
    <mergeCell ref="Q339:Q342"/>
    <mergeCell ref="A343:A346"/>
    <mergeCell ref="B343:B346"/>
    <mergeCell ref="A335:A338"/>
    <mergeCell ref="B335:B338"/>
    <mergeCell ref="Q331:Q334"/>
    <mergeCell ref="Q306:Q309"/>
    <mergeCell ref="A339:A342"/>
    <mergeCell ref="B339:B342"/>
    <mergeCell ref="A24:A29"/>
    <mergeCell ref="B24:B29"/>
    <mergeCell ref="O24:O29"/>
    <mergeCell ref="P24:P29"/>
    <mergeCell ref="Q24:Q29"/>
    <mergeCell ref="Q276:Q277"/>
    <mergeCell ref="O331:O334"/>
    <mergeCell ref="P331:P334"/>
    <mergeCell ref="F271:F273"/>
    <mergeCell ref="E271:E273"/>
    <mergeCell ref="O310:O313"/>
    <mergeCell ref="P310:P313"/>
    <mergeCell ref="Q310:Q313"/>
    <mergeCell ref="A327:A330"/>
    <mergeCell ref="N235:N236"/>
    <mergeCell ref="N224:N226"/>
    <mergeCell ref="L224:L226"/>
    <mergeCell ref="E276:E277"/>
    <mergeCell ref="F276:F277"/>
    <mergeCell ref="B237:B238"/>
  </mergeCells>
  <printOptions horizontalCentered="1"/>
  <pageMargins left="0.70866141732283472" right="0.70866141732283472" top="1.3385826771653544" bottom="0.55118110236220474" header="0.31496062992125984" footer="0.31496062992125984"/>
  <pageSetup paperSize="9" scale="35" firstPageNumber="0" fitToHeight="23" orientation="landscape" r:id="rId1"/>
  <headerFooter>
    <oddHeader>&amp;C&amp;P</oddHeader>
  </headerFooter>
  <rowBreaks count="17" manualBreakCount="17">
    <brk id="26" max="16" man="1"/>
    <brk id="55" max="16" man="1"/>
    <brk id="65" max="16" man="1"/>
    <brk id="78" max="16" man="1"/>
    <brk id="87" max="16" man="1"/>
    <brk id="95" max="16" man="1"/>
    <brk id="106" max="16" man="1"/>
    <brk id="130" max="16" man="1"/>
    <brk id="143" max="16" man="1"/>
    <brk id="159" max="16" man="1"/>
    <brk id="172" max="16" man="1"/>
    <brk id="204" max="16" man="1"/>
    <brk id="216" max="16" man="1"/>
    <brk id="228" max="16" man="1"/>
    <brk id="245" max="16" man="1"/>
    <brk id="268" max="16" man="1"/>
    <brk id="297" max="16" man="1"/>
  </rowBreaks>
  <ignoredErrors>
    <ignoredError sqref="H154" formula="1"/>
    <ignoredError sqref="A22:A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31.12.2025</vt:lpstr>
      <vt:lpstr>'на 31.12.2025'!Заголовки_для_печати</vt:lpstr>
      <vt:lpstr>'на 31.12.2025'!Область_печати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admkursk042</cp:lastModifiedBy>
  <cp:lastPrinted>2026-02-02T13:31:17Z</cp:lastPrinted>
  <dcterms:created xsi:type="dcterms:W3CDTF">2023-01-18T11:12:13Z</dcterms:created>
  <dcterms:modified xsi:type="dcterms:W3CDTF">2026-02-03T11:28:41Z</dcterms:modified>
</cp:coreProperties>
</file>